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425" yWindow="1260" windowWidth="13305" windowHeight="12885" activeTab="2"/>
  </bookViews>
  <sheets>
    <sheet name="TABLE 82 update" sheetId="9" r:id="rId1"/>
    <sheet name="TABLE 84 update" sheetId="10" r:id="rId2"/>
    <sheet name="Salary DATA" sheetId="1" r:id="rId3"/>
    <sheet name="All Ranks Constant $" sheetId="6" r:id="rId4"/>
  </sheets>
  <definedNames>
    <definedName name="_Key1" hidden="1">'Salary DATA'!$A$12</definedName>
    <definedName name="_Order1" hidden="1">255</definedName>
    <definedName name="A">'Salary DATA'!$U$5</definedName>
    <definedName name="DATA">'Salary DATA'!$A$1</definedName>
    <definedName name="NOTE" localSheetId="0">#REF!</definedName>
    <definedName name="NOTE" localSheetId="1">#REF!</definedName>
    <definedName name="NOTE">'TABLE 84 update'!$P$38:$IK$8167</definedName>
    <definedName name="_xlnm.Print_Area" localSheetId="2">'Salary DATA'!$A$1:$DW$27</definedName>
    <definedName name="_xlnm.Print_Area" localSheetId="0">'TABLE 82 update'!$A$1:$I$73</definedName>
    <definedName name="_xlnm.Print_Area" localSheetId="1">'TABLE 84 update'!$A$1:$L$73</definedName>
    <definedName name="_xlnm.Print_Titles" localSheetId="2">'Salary DATA'!$A:$A</definedName>
    <definedName name="TABLE" localSheetId="1">'TABLE 84 update'!$A$1:$L$76</definedName>
    <definedName name="TABLE">#REF!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62" i="6" l="1"/>
  <c r="C61" i="6"/>
  <c r="C60" i="6"/>
  <c r="C59" i="6"/>
  <c r="C58" i="6"/>
  <c r="C57" i="6"/>
  <c r="C56" i="6"/>
  <c r="C55" i="6"/>
  <c r="C54" i="6"/>
  <c r="C53" i="6"/>
  <c r="C51" i="6"/>
  <c r="C50" i="6"/>
  <c r="C49" i="6"/>
  <c r="C48" i="6"/>
  <c r="C47" i="6"/>
  <c r="C46" i="6"/>
  <c r="C45" i="6"/>
  <c r="C44" i="6"/>
  <c r="C43" i="6"/>
  <c r="C42" i="6"/>
  <c r="C41" i="6"/>
  <c r="C40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7" i="6"/>
  <c r="C6" i="6"/>
  <c r="C5" i="6"/>
  <c r="C4" i="6"/>
  <c r="B62" i="6"/>
  <c r="B61" i="6"/>
  <c r="B60" i="6"/>
  <c r="B59" i="6"/>
  <c r="B58" i="6"/>
  <c r="B57" i="6"/>
  <c r="B56" i="6"/>
  <c r="B55" i="6"/>
  <c r="B54" i="6"/>
  <c r="B53" i="6"/>
  <c r="B51" i="6"/>
  <c r="B50" i="6"/>
  <c r="B49" i="6"/>
  <c r="B48" i="6"/>
  <c r="B47" i="6"/>
  <c r="B46" i="6"/>
  <c r="B45" i="6"/>
  <c r="B44" i="6"/>
  <c r="B43" i="6"/>
  <c r="B42" i="6"/>
  <c r="B41" i="6"/>
  <c r="B40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7" i="6"/>
  <c r="B6" i="6"/>
  <c r="B5" i="6"/>
  <c r="B4" i="6"/>
  <c r="B3" i="6"/>
  <c r="C3" i="6"/>
  <c r="C66" i="6"/>
  <c r="AI11" i="1"/>
  <c r="DZ11" i="1"/>
  <c r="EA11" i="1"/>
  <c r="DC11" i="1"/>
  <c r="DB11" i="1"/>
  <c r="CE11" i="1"/>
  <c r="CD11" i="1"/>
  <c r="AH11" i="1"/>
  <c r="BF11" i="1"/>
  <c r="DY11" i="1"/>
  <c r="DA11" i="1"/>
  <c r="CC11" i="1"/>
  <c r="BE11" i="1"/>
  <c r="AG11" i="1"/>
  <c r="DX11" i="1"/>
  <c r="CZ11" i="1"/>
  <c r="BD11" i="1"/>
  <c r="CB11" i="1"/>
  <c r="AF11" i="1"/>
  <c r="CY11" i="1"/>
  <c r="DW11" i="1"/>
  <c r="CA11" i="1"/>
  <c r="BC11" i="1"/>
  <c r="AE11" i="1"/>
  <c r="AD11" i="1"/>
  <c r="BB11" i="1"/>
  <c r="BZ11" i="1"/>
  <c r="CX11" i="1"/>
  <c r="DV11" i="1"/>
  <c r="DU11" i="1"/>
  <c r="CW11" i="1"/>
  <c r="BY11" i="1"/>
  <c r="BA11" i="1"/>
  <c r="AC11" i="1"/>
  <c r="C11" i="1"/>
  <c r="D11" i="1"/>
  <c r="H11" i="1"/>
  <c r="U11" i="1"/>
  <c r="V11" i="1"/>
  <c r="W11" i="1"/>
  <c r="X11" i="1"/>
  <c r="Y11" i="1"/>
  <c r="Z11" i="1"/>
  <c r="AA11" i="1"/>
  <c r="AB11" i="1"/>
  <c r="AJ11" i="1"/>
  <c r="AO11" i="1"/>
  <c r="AS11" i="1"/>
  <c r="AT11" i="1"/>
  <c r="AU11" i="1"/>
  <c r="AV11" i="1"/>
  <c r="AW11" i="1"/>
  <c r="AX11" i="1"/>
  <c r="AY11" i="1"/>
  <c r="AZ11" i="1"/>
  <c r="BH11" i="1"/>
  <c r="BM11" i="1"/>
  <c r="BQ11" i="1"/>
  <c r="BR11" i="1"/>
  <c r="BS11" i="1"/>
  <c r="BT11" i="1"/>
  <c r="BU11" i="1"/>
  <c r="BV11" i="1"/>
  <c r="BW11" i="1"/>
  <c r="BX11" i="1"/>
  <c r="CF11" i="1"/>
  <c r="CK11" i="1"/>
  <c r="CO11" i="1"/>
  <c r="CP11" i="1"/>
  <c r="CQ11" i="1"/>
  <c r="CR11" i="1"/>
  <c r="CS11" i="1"/>
  <c r="CT11" i="1"/>
  <c r="CU11" i="1"/>
  <c r="CV11" i="1"/>
  <c r="DD11" i="1"/>
  <c r="DI11" i="1"/>
  <c r="DM11" i="1"/>
  <c r="DN11" i="1"/>
  <c r="DO11" i="1"/>
  <c r="DP11" i="1"/>
  <c r="DQ11" i="1"/>
  <c r="DR11" i="1"/>
  <c r="DS11" i="1"/>
  <c r="DT11" i="1"/>
  <c r="B11" i="1"/>
  <c r="R6" i="1"/>
  <c r="R11" i="1"/>
  <c r="S6" i="1"/>
  <c r="S11" i="1"/>
  <c r="T6" i="1"/>
  <c r="T11" i="1"/>
  <c r="K14" i="1"/>
  <c r="H14" i="1"/>
  <c r="O6" i="1"/>
  <c r="O11" i="1"/>
  <c r="Q6" i="1"/>
  <c r="Q11" i="1"/>
  <c r="N6" i="1"/>
  <c r="N11" i="1"/>
  <c r="M6" i="1"/>
  <c r="M11" i="1"/>
  <c r="P6" i="1"/>
  <c r="P11" i="1"/>
  <c r="DL6" i="1"/>
  <c r="DL11" i="1"/>
  <c r="DK6" i="1"/>
  <c r="DK11" i="1"/>
  <c r="DJ6" i="1"/>
  <c r="DJ11" i="1"/>
  <c r="DG6" i="1"/>
  <c r="DH6" i="1"/>
  <c r="DH11" i="1"/>
  <c r="DF6" i="1"/>
  <c r="DF11" i="1"/>
  <c r="DE6" i="1"/>
  <c r="DE11" i="1"/>
  <c r="CN6" i="1"/>
  <c r="CN11" i="1"/>
  <c r="CM6" i="1"/>
  <c r="CM11" i="1"/>
  <c r="CL6" i="1"/>
  <c r="CL11" i="1"/>
  <c r="CI6" i="1"/>
  <c r="CJ6" i="1"/>
  <c r="CJ11" i="1"/>
  <c r="CH6" i="1"/>
  <c r="CH11" i="1"/>
  <c r="CG6" i="1"/>
  <c r="CG11" i="1"/>
  <c r="BP6" i="1"/>
  <c r="BP11" i="1"/>
  <c r="BO6" i="1"/>
  <c r="BO11" i="1"/>
  <c r="BN6" i="1"/>
  <c r="BN11" i="1"/>
  <c r="BK6" i="1"/>
  <c r="BK11" i="1"/>
  <c r="BJ6" i="1"/>
  <c r="BJ11" i="1"/>
  <c r="BI6" i="1"/>
  <c r="BI11" i="1"/>
  <c r="AR6" i="1"/>
  <c r="AR11" i="1"/>
  <c r="AQ6" i="1"/>
  <c r="AQ11" i="1"/>
  <c r="AP6" i="1"/>
  <c r="AP11" i="1"/>
  <c r="AM6" i="1"/>
  <c r="AM11" i="1"/>
  <c r="AL6" i="1"/>
  <c r="AL11" i="1"/>
  <c r="AK6" i="1"/>
  <c r="AK11" i="1"/>
  <c r="DD22" i="1"/>
  <c r="CF22" i="1"/>
  <c r="BH22" i="1"/>
  <c r="AJ22" i="1"/>
  <c r="I6" i="1"/>
  <c r="I11" i="1"/>
  <c r="BL6" i="1"/>
  <c r="BL11" i="1"/>
  <c r="CI11" i="1"/>
  <c r="J6" i="1"/>
  <c r="AN6" i="1"/>
  <c r="AN11" i="1"/>
  <c r="DG11" i="1"/>
  <c r="E6" i="1"/>
  <c r="E11" i="1"/>
  <c r="J11" i="1"/>
  <c r="K6" i="1"/>
  <c r="F6" i="1"/>
  <c r="K11" i="1"/>
  <c r="L6" i="1"/>
  <c r="L11" i="1"/>
  <c r="F11" i="1"/>
  <c r="G6" i="1"/>
  <c r="G11" i="1"/>
  <c r="I66" i="9"/>
  <c r="I65" i="9"/>
  <c r="I64" i="9"/>
  <c r="I63" i="9"/>
  <c r="I62" i="9"/>
  <c r="I61" i="9"/>
  <c r="I60" i="9"/>
  <c r="I59" i="9"/>
  <c r="I58" i="9"/>
  <c r="I55" i="9"/>
  <c r="I54" i="9"/>
  <c r="I53" i="9"/>
  <c r="I52" i="9"/>
  <c r="I51" i="9"/>
  <c r="I50" i="9"/>
  <c r="I49" i="9"/>
  <c r="I48" i="9"/>
  <c r="I47" i="9"/>
  <c r="I46" i="9"/>
  <c r="I45" i="9"/>
  <c r="I44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H66" i="9"/>
  <c r="H65" i="9"/>
  <c r="H64" i="9"/>
  <c r="H63" i="9"/>
  <c r="H62" i="9"/>
  <c r="H61" i="9"/>
  <c r="H60" i="9"/>
  <c r="H59" i="9"/>
  <c r="H58" i="9"/>
  <c r="H55" i="9"/>
  <c r="H54" i="9"/>
  <c r="H53" i="9"/>
  <c r="H52" i="9"/>
  <c r="H51" i="9"/>
  <c r="H50" i="9"/>
  <c r="H49" i="9"/>
  <c r="H48" i="9"/>
  <c r="H47" i="9"/>
  <c r="H46" i="9"/>
  <c r="H45" i="9"/>
  <c r="H44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F67" i="9"/>
  <c r="F66" i="9"/>
  <c r="F65" i="9"/>
  <c r="F64" i="9"/>
  <c r="F63" i="9"/>
  <c r="F62" i="9"/>
  <c r="F61" i="9"/>
  <c r="F60" i="9"/>
  <c r="F59" i="9"/>
  <c r="F58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9" i="9"/>
  <c r="E56" i="9"/>
  <c r="E55" i="9"/>
  <c r="E53" i="9"/>
  <c r="E52" i="9"/>
  <c r="E48" i="9"/>
  <c r="E47" i="9"/>
  <c r="E45" i="9"/>
  <c r="E44" i="9"/>
  <c r="E42" i="9"/>
  <c r="E38" i="9"/>
  <c r="E37" i="9"/>
  <c r="E36" i="9"/>
  <c r="E30" i="9"/>
  <c r="E29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9" i="9"/>
  <c r="E27" i="9"/>
  <c r="D67" i="9"/>
  <c r="D66" i="9"/>
  <c r="D65" i="9"/>
  <c r="D64" i="9"/>
  <c r="D63" i="9"/>
  <c r="D62" i="9"/>
  <c r="D61" i="9"/>
  <c r="D60" i="9"/>
  <c r="D59" i="9"/>
  <c r="D58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9" i="9"/>
  <c r="D8" i="9"/>
  <c r="E54" i="9"/>
  <c r="E51" i="9"/>
  <c r="E50" i="9"/>
  <c r="E49" i="9"/>
  <c r="E46" i="9"/>
  <c r="E41" i="9"/>
  <c r="E40" i="9"/>
  <c r="E39" i="9"/>
  <c r="E35" i="9"/>
  <c r="E34" i="9"/>
  <c r="E33" i="9"/>
  <c r="E32" i="9"/>
  <c r="E31" i="9"/>
  <c r="G63" i="9"/>
  <c r="G66" i="9"/>
  <c r="G62" i="9"/>
  <c r="G58" i="9"/>
  <c r="G56" i="9"/>
  <c r="G52" i="9"/>
  <c r="G49" i="9"/>
  <c r="G48" i="9"/>
  <c r="G44" i="9"/>
  <c r="G40" i="9"/>
  <c r="G39" i="9"/>
  <c r="G35" i="9"/>
  <c r="G32" i="9"/>
  <c r="G31" i="9"/>
  <c r="G26" i="9"/>
  <c r="G23" i="9"/>
  <c r="G22" i="9"/>
  <c r="G18" i="9"/>
  <c r="G15" i="9"/>
  <c r="G14" i="9"/>
  <c r="G9" i="9"/>
  <c r="E8" i="9"/>
  <c r="G17" i="9"/>
  <c r="G25" i="9"/>
  <c r="G34" i="9"/>
  <c r="G42" i="9"/>
  <c r="G51" i="9"/>
  <c r="G61" i="9"/>
  <c r="G67" i="9"/>
  <c r="G16" i="9"/>
  <c r="G24" i="9"/>
  <c r="G33" i="9"/>
  <c r="G41" i="9"/>
  <c r="G50" i="9"/>
  <c r="G60" i="9"/>
  <c r="G13" i="9"/>
  <c r="G21" i="9"/>
  <c r="G30" i="9"/>
  <c r="G38" i="9"/>
  <c r="G47" i="9"/>
  <c r="G55" i="9"/>
  <c r="G65" i="9"/>
  <c r="G12" i="9"/>
  <c r="G20" i="9"/>
  <c r="G29" i="9"/>
  <c r="G37" i="9"/>
  <c r="G46" i="9"/>
  <c r="G54" i="9"/>
  <c r="G64" i="9"/>
  <c r="G11" i="9"/>
  <c r="G19" i="9"/>
  <c r="G27" i="9"/>
  <c r="G36" i="9"/>
  <c r="G45" i="9"/>
  <c r="G53" i="9"/>
  <c r="G59" i="9"/>
  <c r="E64" i="9"/>
  <c r="E63" i="9"/>
  <c r="E58" i="9"/>
  <c r="E67" i="9"/>
  <c r="E65" i="9"/>
  <c r="E59" i="9"/>
  <c r="C67" i="9"/>
  <c r="C66" i="9"/>
  <c r="C65" i="9"/>
  <c r="C64" i="9"/>
  <c r="C63" i="9"/>
  <c r="C62" i="9"/>
  <c r="C61" i="9"/>
  <c r="C60" i="9"/>
  <c r="C59" i="9"/>
  <c r="C58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9" i="9"/>
  <c r="C8" i="9"/>
  <c r="E66" i="9"/>
  <c r="E62" i="9"/>
  <c r="E61" i="9"/>
  <c r="E60" i="9"/>
  <c r="L54" i="10"/>
  <c r="L52" i="10"/>
  <c r="L49" i="10"/>
  <c r="L46" i="10"/>
  <c r="L44" i="10"/>
  <c r="L67" i="10"/>
  <c r="L66" i="10"/>
  <c r="L65" i="10"/>
  <c r="L64" i="10"/>
  <c r="L63" i="10"/>
  <c r="L62" i="10"/>
  <c r="L61" i="10"/>
  <c r="L60" i="10"/>
  <c r="L59" i="10"/>
  <c r="L58" i="10"/>
  <c r="L56" i="10"/>
  <c r="L55" i="10"/>
  <c r="L53" i="10"/>
  <c r="L51" i="10"/>
  <c r="L50" i="10"/>
  <c r="L48" i="10"/>
  <c r="L47" i="10"/>
  <c r="L45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9" i="10"/>
  <c r="L8" i="10"/>
  <c r="K67" i="10"/>
  <c r="K66" i="10"/>
  <c r="K65" i="10"/>
  <c r="K64" i="10"/>
  <c r="K63" i="10"/>
  <c r="K62" i="10"/>
  <c r="K61" i="10"/>
  <c r="K60" i="10"/>
  <c r="K59" i="10"/>
  <c r="K58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9" i="10"/>
  <c r="K8" i="10"/>
  <c r="J67" i="10"/>
  <c r="J66" i="10"/>
  <c r="J65" i="10"/>
  <c r="J64" i="10"/>
  <c r="J63" i="10"/>
  <c r="J62" i="10"/>
  <c r="J61" i="10"/>
  <c r="J60" i="10"/>
  <c r="J59" i="10"/>
  <c r="J58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9" i="10"/>
  <c r="J8" i="10"/>
  <c r="I67" i="10"/>
  <c r="I66" i="10"/>
  <c r="I65" i="10"/>
  <c r="I64" i="10"/>
  <c r="I63" i="10"/>
  <c r="I62" i="10"/>
  <c r="I61" i="10"/>
  <c r="I60" i="10"/>
  <c r="I59" i="10"/>
  <c r="I58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9" i="10"/>
  <c r="I8" i="10"/>
  <c r="H67" i="10"/>
  <c r="H66" i="10"/>
  <c r="H65" i="10"/>
  <c r="H64" i="10"/>
  <c r="H63" i="10"/>
  <c r="H62" i="10"/>
  <c r="H61" i="10"/>
  <c r="H60" i="10"/>
  <c r="H59" i="10"/>
  <c r="H58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9" i="10"/>
  <c r="H8" i="10"/>
  <c r="G67" i="10"/>
  <c r="G66" i="10"/>
  <c r="G65" i="10"/>
  <c r="G64" i="10"/>
  <c r="G63" i="10"/>
  <c r="G62" i="10"/>
  <c r="G61" i="10"/>
  <c r="G60" i="10"/>
  <c r="G59" i="10"/>
  <c r="G58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9" i="10"/>
  <c r="G8" i="10"/>
  <c r="F67" i="10"/>
  <c r="F66" i="10"/>
  <c r="F65" i="10"/>
  <c r="F64" i="10"/>
  <c r="F63" i="10"/>
  <c r="F62" i="10"/>
  <c r="F61" i="10"/>
  <c r="F60" i="10"/>
  <c r="F59" i="10"/>
  <c r="F58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9" i="10"/>
  <c r="F8" i="10"/>
  <c r="E67" i="10"/>
  <c r="E66" i="10"/>
  <c r="E65" i="10"/>
  <c r="E64" i="10"/>
  <c r="E63" i="10"/>
  <c r="E62" i="10"/>
  <c r="E61" i="10"/>
  <c r="E60" i="10"/>
  <c r="E59" i="10"/>
  <c r="E58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9" i="10"/>
  <c r="E8" i="10"/>
  <c r="E28" i="10"/>
  <c r="D67" i="10"/>
  <c r="D66" i="10"/>
  <c r="D65" i="10"/>
  <c r="D64" i="10"/>
  <c r="D63" i="10"/>
  <c r="D62" i="10"/>
  <c r="D61" i="10"/>
  <c r="D60" i="10"/>
  <c r="D59" i="10"/>
  <c r="D58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9" i="10"/>
  <c r="D8" i="10"/>
  <c r="D43" i="10"/>
  <c r="C67" i="10"/>
  <c r="C66" i="10"/>
  <c r="C65" i="10"/>
  <c r="C64" i="10"/>
  <c r="C63" i="10"/>
  <c r="C62" i="10"/>
  <c r="C61" i="10"/>
  <c r="C60" i="10"/>
  <c r="C59" i="10"/>
  <c r="C58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9" i="10"/>
  <c r="F10" i="10"/>
  <c r="G10" i="10"/>
  <c r="G57" i="10"/>
  <c r="G43" i="10"/>
  <c r="G28" i="10"/>
  <c r="F43" i="10"/>
  <c r="F57" i="10"/>
  <c r="E57" i="10"/>
  <c r="E10" i="10"/>
  <c r="D10" i="10"/>
  <c r="D57" i="10"/>
  <c r="D28" i="10"/>
  <c r="C8" i="10"/>
  <c r="C43" i="10"/>
  <c r="F28" i="10"/>
  <c r="E43" i="10"/>
  <c r="C28" i="10"/>
  <c r="C57" i="10"/>
  <c r="C10" i="10"/>
</calcChain>
</file>

<file path=xl/comments1.xml><?xml version="1.0" encoding="utf-8"?>
<comments xmlns="http://schemas.openxmlformats.org/spreadsheetml/2006/main">
  <authors>
    <author>jmarks</author>
    <author>JLM</author>
    <author>mloverde</author>
    <author>jennifer berg</author>
  </authors>
  <commentList>
    <comment ref="C6" authorId="0">
      <text>
        <r>
          <rPr>
            <b/>
            <sz val="10"/>
            <color indexed="81"/>
            <rFont val="Tahoma"/>
            <family val="2"/>
          </rPr>
          <t>jmarks: from NCES Digest -- pub 4-yr 9-month figure</t>
        </r>
      </text>
    </comment>
    <comment ref="E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I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J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K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L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N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O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P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Q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
</t>
        </r>
      </text>
    </comment>
    <comment ref="R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
</t>
        </r>
      </text>
    </comment>
    <comment ref="S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T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U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SREB / IPEDS</t>
        </r>
      </text>
    </comment>
    <comment ref="V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SREB / IPEDS</t>
        </r>
      </text>
    </comment>
    <comment ref="W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X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Y6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Z6" authorId="2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A6" authorId="2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B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AAUP data</t>
        </r>
      </text>
    </comment>
    <comment ref="AD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AE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F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G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H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I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N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AX6" authorId="2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Y6" authorId="2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Z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B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C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D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E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F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G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L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BV6" authorId="2">
      <text>
        <r>
          <rPr>
            <b/>
            <sz val="8"/>
            <color indexed="81"/>
            <rFont val="Tahoma"/>
            <family val="2"/>
          </rPr>
          <t>AAUP Data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6" authorId="2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BX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Z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A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B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C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D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E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J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CT6" authorId="2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CU6" authorId="2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CV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X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Y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Z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A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B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C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H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DR6" authorId="2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DS6" authorId="2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DT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V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W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DX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DY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DZ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EA6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SREB-State</t>
        </r>
      </text>
    </comment>
    <comment ref="B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C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D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E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F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G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H1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I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J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K1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L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M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N14" authorId="2">
      <text>
        <r>
          <rPr>
            <b/>
            <sz val="10"/>
            <color indexed="81"/>
            <rFont val="Tahoma"/>
            <family val="2"/>
          </rPr>
          <t>mloverde: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O14" authorId="2">
      <text>
        <r>
          <rPr>
            <b/>
            <sz val="10"/>
            <color indexed="81"/>
            <rFont val="Tahoma"/>
            <family val="2"/>
          </rPr>
          <t>mloverde: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P14" authorId="2">
      <text>
        <r>
          <rPr>
            <sz val="10"/>
            <color indexed="81"/>
            <rFont val="Tahoma"/>
            <family val="2"/>
          </rPr>
          <t>from WebCASPAR</t>
        </r>
      </text>
    </comment>
    <comment ref="Q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R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S14" authorId="3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T14" authorId="2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from WebCASPAR</t>
        </r>
      </text>
    </comment>
    <comment ref="U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V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W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source unclear
</t>
        </r>
      </text>
    </comment>
    <comment ref="X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Data Exchange
</t>
        </r>
      </text>
    </comment>
    <comment ref="Y1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Data Exchange</t>
        </r>
      </text>
    </comment>
    <comment ref="AL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M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N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Q14" authorId="3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R14" authorId="2">
      <text>
        <r>
          <rPr>
            <b/>
            <sz val="10"/>
            <color indexed="81"/>
            <rFont val="Tahoma"/>
            <family val="2"/>
          </rPr>
          <t>from WebCASPAR</t>
        </r>
      </text>
    </comment>
    <comment ref="BJ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K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L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O14" authorId="3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P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H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I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J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M14" authorId="3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N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F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G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H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K14" authorId="3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L14" authorId="2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Q15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
</t>
        </r>
      </text>
    </comment>
    <comment ref="R15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S15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T15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
</t>
        </r>
      </text>
    </comment>
    <comment ref="U15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V15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</t>
        </r>
      </text>
    </comment>
    <comment ref="W15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X15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
</t>
        </r>
      </text>
    </comment>
    <comment ref="Y15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Z15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AA15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V18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reporting changes went into effect</t>
        </r>
      </text>
    </comment>
  </commentList>
</comments>
</file>

<file path=xl/sharedStrings.xml><?xml version="1.0" encoding="utf-8"?>
<sst xmlns="http://schemas.openxmlformats.org/spreadsheetml/2006/main" count="466" uniqueCount="143">
  <si>
    <t>Rhode Island</t>
  </si>
  <si>
    <t>Vermont</t>
  </si>
  <si>
    <t>District of Columbia</t>
  </si>
  <si>
    <t>IPEDS</t>
  </si>
  <si>
    <t>50 States and D.C.</t>
  </si>
  <si>
    <t>DE Salaries05; IPEDS</t>
  </si>
  <si>
    <t>National</t>
  </si>
  <si>
    <t>Ranking</t>
  </si>
  <si>
    <t xml:space="preserve">   as a percent of U.S.</t>
  </si>
  <si>
    <r>
      <t>Average Salaries of Full-Time Instructional Faculty by Rank at Public Four-Year Colleges and Universities</t>
    </r>
    <r>
      <rPr>
        <vertAlign val="superscript"/>
        <sz val="10"/>
        <rFont val="Arial"/>
        <family val="2"/>
      </rPr>
      <t>1</t>
    </r>
  </si>
  <si>
    <t xml:space="preserve"> "NA" indicates not applicable. There were no faculty of that rank in at least one of the years.</t>
  </si>
  <si>
    <t>50 states and D.C.</t>
  </si>
  <si>
    <t>Average Salaries of Full-Time Instructional Faculty at Public Four-Year Colleges and Universities</t>
  </si>
  <si>
    <t xml:space="preserve">Note: </t>
  </si>
  <si>
    <r>
      <t>Percent Change</t>
    </r>
    <r>
      <rPr>
        <vertAlign val="superscript"/>
        <sz val="10"/>
        <rFont val="Arial"/>
        <family val="2"/>
      </rPr>
      <t>1</t>
    </r>
  </si>
  <si>
    <t>1 Includes the ranks shown, plus all other full-time faculty, such as lecturers and unranked faculty.</t>
  </si>
  <si>
    <r>
      <t>All Ranks</t>
    </r>
    <r>
      <rPr>
        <vertAlign val="superscript"/>
        <sz val="10"/>
        <rFont val="Arial"/>
        <family val="2"/>
      </rPr>
      <t>1</t>
    </r>
  </si>
  <si>
    <t>Table 84</t>
  </si>
  <si>
    <t>Table 82</t>
  </si>
  <si>
    <t>2010-11</t>
  </si>
  <si>
    <t>DE Salaries11 (#143); IPEDS</t>
  </si>
  <si>
    <t>DE Salaries11 (#146); IPEDS</t>
  </si>
  <si>
    <t>1 The cost of living (Consumer Price Index for the academic year, not calendar year) increased by 11.6 percent from 2005-06 to 2010-11.</t>
  </si>
  <si>
    <t>DE Salaries11 (#146), IPEDS</t>
  </si>
  <si>
    <r>
      <t xml:space="preserve">Public Four-Year Colleges and Unviersities, All Ranks in </t>
    </r>
    <r>
      <rPr>
        <sz val="10"/>
        <color indexed="12"/>
        <rFont val="SWISS-C"/>
      </rPr>
      <t>constant 2010-11 dollars</t>
    </r>
  </si>
  <si>
    <t>2009-10 to</t>
  </si>
  <si>
    <t>Percent Change, 2009-10 to 2010-11</t>
  </si>
  <si>
    <t xml:space="preserve"> March 2012</t>
  </si>
  <si>
    <t>Figures include all full-time faculty at public four-year colleges and universities except those at specialized institutions. See Appendix A. SREB and the National Center for Education Statistics (NCES) treat two-year colleges awarding bachelor's degrees differently. NCES classifies two-year colleges awarding bachelor's as four-year. SREB classifies them as two-year until they meet other criteria. To keep the faculty characteristics data parallel to the faculty salary data, two-year institutions awarding bachelor's degrees that have been moved to the four-year category by NCES are classified as two-year institutions here.</t>
  </si>
  <si>
    <t>Average Salaries of Full-Time Faculty</t>
  </si>
  <si>
    <t>All Ranks</t>
  </si>
  <si>
    <t>Professor</t>
  </si>
  <si>
    <t>Associate Professor</t>
  </si>
  <si>
    <t>Assistant Professor</t>
  </si>
  <si>
    <t>Instructor</t>
  </si>
  <si>
    <t>1983-84</t>
  </si>
  <si>
    <t>1988-89</t>
  </si>
  <si>
    <t>1989-90</t>
  </si>
  <si>
    <t>1990-91</t>
  </si>
  <si>
    <t>1992-93</t>
  </si>
  <si>
    <t>1993-94</t>
  </si>
  <si>
    <t>1994-95</t>
  </si>
  <si>
    <t>1995-96</t>
  </si>
  <si>
    <t>1996-97</t>
  </si>
  <si>
    <t>-</t>
  </si>
  <si>
    <t>SREB Region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</si>
  <si>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</si>
  <si>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</si>
  <si>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</si>
  <si>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</si>
  <si>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</si>
  <si>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</si>
  <si>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</si>
  <si>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</si>
  <si>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</si>
  <si>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</si>
  <si>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</si>
  <si>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</si>
  <si>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</si>
  <si>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</si>
  <si>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</si>
  <si>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Associate</t>
  </si>
  <si>
    <t>Assistant</t>
  </si>
  <si>
    <t>1997-98</t>
  </si>
  <si>
    <t>DE 22</t>
  </si>
  <si>
    <t>Delaware</t>
  </si>
  <si>
    <t>SREB states</t>
  </si>
  <si>
    <t>Sources:</t>
  </si>
  <si>
    <t>1991-92</t>
  </si>
  <si>
    <t>1998-99</t>
  </si>
  <si>
    <t>1999-00</t>
  </si>
  <si>
    <t>2000-01</t>
  </si>
  <si>
    <t>1977-78</t>
  </si>
  <si>
    <t>Salary</t>
  </si>
  <si>
    <t>1978-79</t>
  </si>
  <si>
    <t>1979-80</t>
  </si>
  <si>
    <t>1980-81</t>
  </si>
  <si>
    <t>1981-82</t>
  </si>
  <si>
    <t>1982-83</t>
  </si>
  <si>
    <t>1984-85</t>
  </si>
  <si>
    <t>1985-86</t>
  </si>
  <si>
    <t>1986-87</t>
  </si>
  <si>
    <t>1987-88</t>
  </si>
  <si>
    <t>Average</t>
  </si>
  <si>
    <t>Inflation-Adjusted</t>
  </si>
  <si>
    <t>Percent Change</t>
  </si>
  <si>
    <t>Percent of U.S.</t>
  </si>
  <si>
    <t xml:space="preserve">Sources: </t>
  </si>
  <si>
    <t>2001-02</t>
  </si>
  <si>
    <t>2002-03</t>
  </si>
  <si>
    <t>Public Four-Year Institutions</t>
  </si>
  <si>
    <t>2003-04</t>
  </si>
  <si>
    <t>SREB-State Data Exchange.</t>
  </si>
  <si>
    <t>Average Salary</t>
  </si>
  <si>
    <t>2004-05</t>
  </si>
  <si>
    <t>AY CPI for constant dollar calculation (from "Price Indexes" worksheet)</t>
  </si>
  <si>
    <t>SREB State Data Exchange</t>
  </si>
  <si>
    <t>2005-06</t>
  </si>
  <si>
    <t>2006-07</t>
  </si>
  <si>
    <t>2007-08</t>
  </si>
  <si>
    <t>SREB analysis of National Center for Education Statistics salary surveys — (www.nces.ed.gov/ipeds).</t>
  </si>
  <si>
    <t>(all ranks)</t>
  </si>
  <si>
    <t>2008-09</t>
  </si>
  <si>
    <t>DE Salaries09 (#110)</t>
  </si>
  <si>
    <t>DE Salaries08(#110)</t>
  </si>
  <si>
    <t>DE Salaries07(#110)</t>
  </si>
  <si>
    <t>DE Salaries06(#110)</t>
  </si>
  <si>
    <t>2009-10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</si>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</sst>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0.0_)"/>
    <numFmt numFmtId="165" formatCode="#,##0.0_);\(#,##0.0\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.0"/>
    <numFmt numFmtId="171" formatCode="#,##0.0"/>
  </numFmts>
  <fonts count="21">
    <font>
      <sz val="10"/>
      <name val="SWISS-C"/>
    </font>
    <font>
      <sz val="12"/>
      <name val="AGaramond"/>
      <family val="3"/>
    </font>
    <font>
      <sz val="10"/>
      <name val="SWISS-C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2"/>
      <name val="SWISS-C"/>
    </font>
    <font>
      <sz val="8"/>
      <name val="SWISS-C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2">
    <xf numFmtId="37" fontId="0" fillId="0" borderId="0" xfId="0" applyNumberFormat="1" applyAlignment="1"/>
    <xf numFmtId="3" fontId="3" fillId="0" borderId="0" xfId="0" applyNumberFormat="1" applyFont="1" applyAlignment="1" applyProtection="1">
      <alignment horizontal="right"/>
    </xf>
    <xf numFmtId="3" fontId="3" fillId="0" borderId="4" xfId="0" applyNumberFormat="1" applyFont="1" applyBorder="1" applyAlignment="1" applyProtection="1">
      <alignment horizontal="right"/>
    </xf>
    <xf numFmtId="0" fontId="4" fillId="0" borderId="0" xfId="0" applyFont="1" applyFill="1">
      <alignment horizontal="left" wrapText="1"/>
    </xf>
    <xf numFmtId="0" fontId="4" fillId="0" borderId="0" xfId="0" applyFont="1">
      <alignment horizontal="left" wrapText="1"/>
    </xf>
    <xf numFmtId="168" fontId="2" fillId="0" borderId="0" xfId="1" applyNumberFormat="1" applyFont="1" applyFill="1" applyAlignment="1" applyProtection="1">
      <alignment horizontal="left" wrapText="1"/>
    </xf>
    <xf numFmtId="3" fontId="3" fillId="0" borderId="0" xfId="0" applyNumberFormat="1" applyFont="1" applyBorder="1" applyAlignment="1" applyProtection="1">
      <alignment horizontal="right"/>
    </xf>
    <xf numFmtId="0" fontId="3" fillId="0" borderId="0" xfId="0" applyFont="1">
      <alignment horizontal="left" wrapText="1"/>
    </xf>
    <xf numFmtId="168" fontId="3" fillId="0" borderId="4" xfId="1" applyNumberFormat="1" applyFont="1" applyFill="1" applyBorder="1" applyAlignment="1" applyProtection="1">
      <alignment horizontal="right"/>
    </xf>
    <xf numFmtId="37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3" fontId="3" fillId="0" borderId="0" xfId="0" applyNumberFormat="1" applyFont="1" applyFill="1" applyBorder="1" applyAlignment="1" applyProtection="1">
      <alignment horizontal="right"/>
    </xf>
    <xf numFmtId="3" fontId="3" fillId="0" borderId="10" xfId="0" applyNumberFormat="1" applyFont="1" applyBorder="1" applyAlignment="1" applyProtection="1">
      <alignment horizontal="right"/>
    </xf>
    <xf numFmtId="3" fontId="11" fillId="0" borderId="0" xfId="0" applyNumberFormat="1" applyFont="1" applyBorder="1" applyAlignment="1" applyProtection="1">
      <alignment horizontal="right"/>
    </xf>
    <xf numFmtId="3" fontId="3" fillId="0" borderId="4" xfId="0" applyNumberFormat="1" applyFont="1" applyFill="1" applyBorder="1" applyAlignment="1" applyProtection="1">
      <alignment horizontal="right"/>
    </xf>
    <xf numFmtId="168" fontId="9" fillId="0" borderId="0" xfId="1" applyNumberFormat="1" applyFont="1" applyFill="1" applyAlignment="1" applyProtection="1">
      <alignment horizontal="left" wrapText="1"/>
    </xf>
    <xf numFmtId="168" fontId="9" fillId="0" borderId="4" xfId="1" applyNumberFormat="1" applyFont="1" applyFill="1" applyBorder="1" applyAlignment="1" applyProtection="1">
      <alignment horizontal="left" wrapText="1"/>
    </xf>
    <xf numFmtId="168" fontId="9" fillId="0" borderId="0" xfId="1" applyNumberFormat="1" applyFont="1" applyFill="1" applyBorder="1" applyAlignment="1" applyProtection="1">
      <alignment horizontal="left" wrapText="1"/>
    </xf>
    <xf numFmtId="0" fontId="10" fillId="3" borderId="0" xfId="0" applyFont="1" applyFill="1" applyProtection="1">
      <alignment horizontal="left" wrapText="1"/>
    </xf>
    <xf numFmtId="166" fontId="12" fillId="3" borderId="0" xfId="2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37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5" xfId="0" applyNumberFormat="1" applyFont="1" applyFill="1" applyBorder="1" applyAlignment="1" applyProtection="1">
      <alignment horizontal="left"/>
    </xf>
    <xf numFmtId="37" fontId="3" fillId="0" borderId="14" xfId="0" applyNumberFormat="1" applyFont="1" applyFill="1" applyBorder="1" applyAlignment="1" applyProtection="1">
      <alignment horizontal="right"/>
    </xf>
    <xf numFmtId="37" fontId="3" fillId="0" borderId="5" xfId="0" applyNumberFormat="1" applyFont="1" applyFill="1" applyBorder="1" applyAlignment="1" applyProtection="1">
      <alignment horizontal="right"/>
    </xf>
    <xf numFmtId="37" fontId="3" fillId="0" borderId="17" xfId="0" applyNumberFormat="1" applyFont="1" applyFill="1" applyBorder="1" applyAlignment="1" applyProtection="1">
      <alignment horizontal="lef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37" fontId="3" fillId="0" borderId="8" xfId="0" applyNumberFormat="1" applyFont="1" applyFill="1" applyBorder="1" applyAlignment="1" applyProtection="1">
      <alignment horizontal="right"/>
    </xf>
    <xf numFmtId="37" fontId="3" fillId="0" borderId="1" xfId="0" applyNumberFormat="1" applyFont="1" applyFill="1" applyBorder="1" applyAlignment="1" applyProtection="1">
      <alignment horizontal="right"/>
    </xf>
    <xf numFmtId="37" fontId="3" fillId="0" borderId="17" xfId="0" applyNumberFormat="1" applyFont="1" applyFill="1" applyBorder="1" applyAlignment="1" applyProtection="1">
      <alignment horizontal="right"/>
    </xf>
    <xf numFmtId="37" fontId="3" fillId="0" borderId="2" xfId="0" applyNumberFormat="1" applyFont="1" applyFill="1" applyBorder="1" applyAlignment="1" applyProtection="1">
      <alignment horizontal="right"/>
    </xf>
    <xf numFmtId="168" fontId="3" fillId="0" borderId="0" xfId="1" applyNumberFormat="1" applyFont="1" applyFill="1" applyAlignment="1">
      <alignment horizontal="right"/>
    </xf>
    <xf numFmtId="37" fontId="3" fillId="0" borderId="0" xfId="0" applyNumberFormat="1" applyFont="1" applyFill="1" applyAlignment="1" applyProtection="1">
      <alignment horizontal="right" wrapText="1"/>
    </xf>
    <xf numFmtId="37" fontId="3" fillId="0" borderId="0" xfId="0" applyNumberFormat="1" applyFont="1" applyFill="1" applyBorder="1" applyAlignment="1">
      <alignment horizontal="right"/>
    </xf>
    <xf numFmtId="37" fontId="3" fillId="0" borderId="12" xfId="0" applyNumberFormat="1" applyFont="1" applyFill="1" applyBorder="1" applyAlignment="1" applyProtection="1">
      <alignment horizontal="right"/>
    </xf>
    <xf numFmtId="5" fontId="3" fillId="0" borderId="0" xfId="0" applyNumberFormat="1" applyFont="1" applyFill="1" applyAlignment="1" applyProtection="1">
      <alignment horizontal="right"/>
    </xf>
    <xf numFmtId="37" fontId="3" fillId="0" borderId="3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Border="1" applyAlignment="1" applyProtection="1">
      <alignment horizontal="right" wrapText="1"/>
    </xf>
    <xf numFmtId="165" fontId="13" fillId="0" borderId="0" xfId="0" applyNumberFormat="1" applyFont="1" applyFill="1" applyAlignment="1" applyProtection="1">
      <alignment horizontal="right" wrapText="1"/>
    </xf>
    <xf numFmtId="165" fontId="13" fillId="0" borderId="12" xfId="0" applyNumberFormat="1" applyFont="1" applyFill="1" applyBorder="1" applyAlignment="1" applyProtection="1">
      <alignment horizontal="right" wrapText="1"/>
    </xf>
    <xf numFmtId="165" fontId="13" fillId="0" borderId="0" xfId="0" applyNumberFormat="1" applyFont="1" applyFill="1" applyBorder="1" applyAlignment="1" applyProtection="1">
      <alignment horizontal="right" wrapText="1"/>
    </xf>
    <xf numFmtId="37" fontId="3" fillId="0" borderId="0" xfId="0" applyNumberFormat="1" applyFont="1" applyAlignment="1" applyProtection="1">
      <alignment horizontal="right" wrapText="1"/>
    </xf>
    <xf numFmtId="37" fontId="11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 wrapText="1"/>
    </xf>
    <xf numFmtId="3" fontId="3" fillId="0" borderId="0" xfId="0" applyNumberFormat="1" applyFont="1" applyFill="1" applyBorder="1" applyAlignment="1" applyProtection="1">
      <alignment horizontal="right" wrapText="1"/>
    </xf>
    <xf numFmtId="37" fontId="14" fillId="0" borderId="0" xfId="0" applyNumberFormat="1" applyFont="1" applyFill="1" applyAlignment="1" applyProtection="1">
      <alignment horizontal="right"/>
    </xf>
    <xf numFmtId="37" fontId="14" fillId="0" borderId="0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 applyProtection="1">
      <alignment horizontal="right"/>
    </xf>
    <xf numFmtId="37" fontId="3" fillId="2" borderId="0" xfId="0" applyNumberFormat="1" applyFont="1" applyFill="1" applyAlignment="1" applyProtection="1">
      <alignment horizontal="right"/>
    </xf>
    <xf numFmtId="37" fontId="3" fillId="0" borderId="9" xfId="0" applyNumberFormat="1" applyFont="1" applyFill="1" applyBorder="1" applyAlignment="1" applyProtection="1">
      <alignment horizontal="right"/>
    </xf>
    <xf numFmtId="37" fontId="3" fillId="0" borderId="4" xfId="0" applyNumberFormat="1" applyFont="1" applyFill="1" applyBorder="1" applyAlignment="1" applyProtection="1">
      <alignment horizontal="left"/>
    </xf>
    <xf numFmtId="37" fontId="3" fillId="0" borderId="4" xfId="0" applyNumberFormat="1" applyFont="1" applyBorder="1" applyAlignment="1" applyProtection="1">
      <alignment horizontal="right" wrapText="1"/>
    </xf>
    <xf numFmtId="37" fontId="3" fillId="0" borderId="4" xfId="0" applyNumberFormat="1" applyFont="1" applyFill="1" applyBorder="1" applyAlignment="1" applyProtection="1">
      <alignment horizontal="right"/>
    </xf>
    <xf numFmtId="37" fontId="3" fillId="0" borderId="4" xfId="0" applyNumberFormat="1" applyFont="1" applyFill="1" applyBorder="1" applyAlignment="1">
      <alignment horizontal="right"/>
    </xf>
    <xf numFmtId="37" fontId="3" fillId="0" borderId="16" xfId="0" applyNumberFormat="1" applyFont="1" applyFill="1" applyBorder="1" applyAlignment="1" applyProtection="1">
      <alignment horizontal="right"/>
    </xf>
    <xf numFmtId="37" fontId="3" fillId="0" borderId="10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/>
    <xf numFmtId="3" fontId="3" fillId="0" borderId="0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0" xfId="0" applyNumberFormat="1" applyFont="1" applyFill="1" applyAlignment="1">
      <alignment horizontal="left"/>
    </xf>
    <xf numFmtId="3" fontId="3" fillId="0" borderId="8" xfId="0" applyNumberFormat="1" applyFont="1" applyFill="1" applyBorder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7" fontId="3" fillId="0" borderId="15" xfId="0" applyNumberFormat="1" applyFont="1" applyFill="1" applyBorder="1" applyAlignment="1" applyProtection="1">
      <alignment horizontal="left"/>
    </xf>
    <xf numFmtId="3" fontId="3" fillId="0" borderId="12" xfId="0" applyNumberFormat="1" applyFont="1" applyFill="1" applyBorder="1" applyAlignment="1"/>
    <xf numFmtId="3" fontId="3" fillId="0" borderId="12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/>
    <xf numFmtId="3" fontId="3" fillId="0" borderId="19" xfId="0" applyNumberFormat="1" applyFont="1" applyFill="1" applyBorder="1" applyAlignment="1"/>
    <xf numFmtId="3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 applyProtection="1"/>
    <xf numFmtId="37" fontId="3" fillId="0" borderId="5" xfId="0" applyNumberFormat="1" applyFont="1" applyFill="1" applyBorder="1" applyAlignment="1" applyProtection="1"/>
    <xf numFmtId="37" fontId="3" fillId="0" borderId="1" xfId="0" applyNumberFormat="1" applyFont="1" applyFill="1" applyBorder="1" applyAlignment="1" applyProtection="1"/>
    <xf numFmtId="37" fontId="3" fillId="0" borderId="4" xfId="0" applyNumberFormat="1" applyFont="1" applyFill="1" applyBorder="1" applyAlignment="1"/>
    <xf numFmtId="3" fontId="0" fillId="0" borderId="0" xfId="0" applyNumberFormat="1" applyFont="1" applyBorder="1" applyAlignment="1"/>
    <xf numFmtId="3" fontId="0" fillId="0" borderId="4" xfId="0" applyNumberFormat="1" applyFont="1" applyBorder="1" applyAlignment="1"/>
    <xf numFmtId="37" fontId="3" fillId="0" borderId="18" xfId="0" applyNumberFormat="1" applyFont="1" applyFill="1" applyBorder="1" applyAlignment="1" applyProtection="1">
      <alignment horizontal="right"/>
    </xf>
    <xf numFmtId="168" fontId="3" fillId="0" borderId="4" xfId="1" applyNumberFormat="1" applyFont="1" applyBorder="1" applyAlignment="1" applyProtection="1">
      <alignment horizontal="right" wrapText="1"/>
    </xf>
    <xf numFmtId="168" fontId="11" fillId="0" borderId="4" xfId="1" applyNumberFormat="1" applyFont="1" applyBorder="1" applyAlignment="1" applyProtection="1">
      <alignment horizontal="right" wrapText="1"/>
    </xf>
    <xf numFmtId="168" fontId="3" fillId="0" borderId="18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 applyProtection="1">
      <alignment horizontal="right"/>
    </xf>
    <xf numFmtId="168" fontId="11" fillId="0" borderId="4" xfId="1" applyNumberFormat="1" applyFont="1" applyFill="1" applyBorder="1" applyAlignment="1" applyProtection="1">
      <alignment horizontal="right"/>
    </xf>
    <xf numFmtId="168" fontId="3" fillId="0" borderId="4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 applyProtection="1">
      <alignment horizontal="right"/>
    </xf>
    <xf numFmtId="168" fontId="3" fillId="0" borderId="4" xfId="1" applyNumberFormat="1" applyFont="1" applyFill="1" applyBorder="1" applyAlignment="1" applyProtection="1"/>
    <xf numFmtId="37" fontId="3" fillId="0" borderId="4" xfId="0" applyNumberFormat="1" applyFont="1" applyFill="1" applyBorder="1" applyAlignment="1" applyProtection="1"/>
    <xf numFmtId="170" fontId="3" fillId="3" borderId="0" xfId="0" applyNumberFormat="1" applyFont="1" applyFill="1" applyBorder="1" applyAlignment="1" applyProtection="1">
      <alignment horizontal="right"/>
    </xf>
    <xf numFmtId="168" fontId="9" fillId="0" borderId="8" xfId="1" applyNumberFormat="1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>
      <alignment horizontal="left" wrapText="1"/>
    </xf>
    <xf numFmtId="0" fontId="3" fillId="0" borderId="0" xfId="0" applyFont="1" applyBorder="1" applyAlignment="1" applyProtection="1">
      <alignment horizontal="centerContinuous"/>
    </xf>
    <xf numFmtId="0" fontId="3" fillId="0" borderId="11" xfId="0" applyFont="1" applyBorder="1" applyAlignment="1" applyProtection="1">
      <alignment horizontal="centerContinuous"/>
    </xf>
    <xf numFmtId="0" fontId="3" fillId="0" borderId="4" xfId="0" applyFont="1" applyBorder="1">
      <alignment horizontal="left" wrapText="1"/>
    </xf>
    <xf numFmtId="0" fontId="3" fillId="0" borderId="0" xfId="0" applyFo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Continuous"/>
    </xf>
    <xf numFmtId="0" fontId="3" fillId="0" borderId="15" xfId="0" applyFont="1" applyBorder="1" applyAlignment="1" applyProtection="1">
      <alignment horizontal="centerContinuous"/>
    </xf>
    <xf numFmtId="0" fontId="3" fillId="0" borderId="15" xfId="0" applyFont="1" applyBorder="1" applyProtection="1">
      <alignment horizontal="left" wrapText="1"/>
    </xf>
    <xf numFmtId="0" fontId="3" fillId="0" borderId="5" xfId="0" applyFont="1" applyBorder="1" applyAlignment="1" applyProtection="1">
      <alignment horizontal="centerContinuous"/>
    </xf>
    <xf numFmtId="0" fontId="3" fillId="0" borderId="13" xfId="0" applyFont="1" applyBorder="1" applyProtection="1">
      <alignment horizontal="left" wrapText="1"/>
    </xf>
    <xf numFmtId="0" fontId="3" fillId="0" borderId="14" xfId="0" applyFont="1" applyBorder="1" applyAlignment="1" applyProtection="1">
      <alignment horizontal="centerContinuous"/>
    </xf>
    <xf numFmtId="0" fontId="3" fillId="0" borderId="23" xfId="0" applyFont="1" applyBorder="1" applyAlignment="1" applyProtection="1">
      <alignment horizontal="centerContinuous"/>
    </xf>
    <xf numFmtId="0" fontId="3" fillId="0" borderId="12" xfId="0" applyFont="1" applyBorder="1" applyAlignment="1" applyProtection="1">
      <alignment horizontal="centerContinuous"/>
    </xf>
    <xf numFmtId="0" fontId="3" fillId="0" borderId="12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0" fontId="3" fillId="0" borderId="22" xfId="0" applyFont="1" applyBorder="1" applyAlignment="1" applyProtection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11" xfId="0" applyFont="1" applyBorder="1" applyProtection="1">
      <alignment horizontal="left" wrapText="1"/>
    </xf>
    <xf numFmtId="0" fontId="3" fillId="0" borderId="11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5" fontId="3" fillId="0" borderId="4" xfId="1" applyNumberFormat="1" applyFont="1" applyFill="1" applyBorder="1" applyAlignment="1">
      <alignment horizontal="right"/>
    </xf>
    <xf numFmtId="170" fontId="3" fillId="0" borderId="25" xfId="0" applyNumberFormat="1" applyFont="1" applyFill="1" applyBorder="1" applyAlignment="1">
      <alignment horizontal="center"/>
    </xf>
    <xf numFmtId="170" fontId="3" fillId="0" borderId="16" xfId="0" applyNumberFormat="1" applyFont="1" applyFill="1" applyBorder="1" applyAlignment="1">
      <alignment horizontal="center"/>
    </xf>
    <xf numFmtId="170" fontId="3" fillId="0" borderId="16" xfId="0" applyNumberFormat="1" applyFont="1" applyFill="1" applyBorder="1" applyAlignment="1">
      <alignment horizontal="right"/>
    </xf>
    <xf numFmtId="170" fontId="3" fillId="0" borderId="4" xfId="0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170" fontId="3" fillId="0" borderId="23" xfId="0" applyNumberFormat="1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0" fontId="3" fillId="0" borderId="0" xfId="0" applyFont="1" applyFill="1">
      <alignment horizontal="left" wrapText="1"/>
    </xf>
    <xf numFmtId="3" fontId="3" fillId="4" borderId="0" xfId="0" applyNumberFormat="1" applyFont="1" applyFill="1" applyAlignment="1"/>
    <xf numFmtId="168" fontId="3" fillId="4" borderId="0" xfId="1" applyNumberFormat="1" applyFont="1" applyFill="1" applyBorder="1" applyAlignment="1">
      <alignment horizontal="right"/>
    </xf>
    <xf numFmtId="170" fontId="3" fillId="4" borderId="23" xfId="0" applyNumberFormat="1" applyFont="1" applyFill="1" applyBorder="1" applyAlignment="1">
      <alignment horizontal="center"/>
    </xf>
    <xf numFmtId="170" fontId="3" fillId="4" borderId="12" xfId="0" applyNumberFormat="1" applyFont="1" applyFill="1" applyBorder="1" applyAlignment="1">
      <alignment horizontal="center"/>
    </xf>
    <xf numFmtId="170" fontId="3" fillId="4" borderId="12" xfId="0" applyNumberFormat="1" applyFont="1" applyFill="1" applyBorder="1" applyAlignment="1">
      <alignment horizontal="right"/>
    </xf>
    <xf numFmtId="170" fontId="3" fillId="4" borderId="0" xfId="0" applyNumberFormat="1" applyFont="1" applyFill="1" applyBorder="1" applyAlignment="1">
      <alignment horizontal="right"/>
    </xf>
    <xf numFmtId="1" fontId="3" fillId="4" borderId="12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9" fontId="3" fillId="0" borderId="0" xfId="2" applyFont="1" applyFill="1" applyAlignment="1">
      <alignment horizontal="left" wrapText="1"/>
    </xf>
    <xf numFmtId="3" fontId="3" fillId="0" borderId="0" xfId="0" applyNumberFormat="1" applyFont="1" applyAlignment="1"/>
    <xf numFmtId="1" fontId="3" fillId="0" borderId="1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/>
    <xf numFmtId="3" fontId="3" fillId="0" borderId="4" xfId="0" applyNumberFormat="1" applyFont="1" applyBorder="1" applyAlignment="1"/>
    <xf numFmtId="1" fontId="3" fillId="0" borderId="16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68" fontId="3" fillId="0" borderId="0" xfId="1" applyNumberFormat="1" applyFont="1" applyFill="1" applyBorder="1" applyAlignment="1"/>
    <xf numFmtId="170" fontId="3" fillId="0" borderId="12" xfId="0" applyNumberFormat="1" applyFont="1" applyFill="1" applyBorder="1" applyAlignment="1"/>
    <xf numFmtId="170" fontId="3" fillId="0" borderId="0" xfId="0" applyNumberFormat="1" applyFont="1" applyFill="1" applyBorder="1" applyAlignment="1"/>
    <xf numFmtId="3" fontId="3" fillId="4" borderId="0" xfId="0" applyNumberFormat="1" applyFont="1" applyFill="1" applyAlignment="1">
      <alignment horizontal="left"/>
    </xf>
    <xf numFmtId="3" fontId="3" fillId="4" borderId="0" xfId="0" applyNumberFormat="1" applyFont="1" applyFill="1" applyAlignment="1">
      <alignment horizontal="center"/>
    </xf>
    <xf numFmtId="168" fontId="3" fillId="4" borderId="0" xfId="1" applyNumberFormat="1" applyFont="1" applyFill="1" applyBorder="1" applyAlignment="1"/>
    <xf numFmtId="170" fontId="3" fillId="4" borderId="12" xfId="0" applyNumberFormat="1" applyFont="1" applyFill="1" applyBorder="1" applyAlignment="1"/>
    <xf numFmtId="170" fontId="3" fillId="4" borderId="0" xfId="0" applyNumberFormat="1" applyFont="1" applyFill="1" applyBorder="1" applyAlignment="1"/>
    <xf numFmtId="3" fontId="3" fillId="4" borderId="4" xfId="0" applyNumberFormat="1" applyFont="1" applyFill="1" applyBorder="1" applyAlignment="1"/>
    <xf numFmtId="168" fontId="3" fillId="4" borderId="4" xfId="1" applyNumberFormat="1" applyFont="1" applyFill="1" applyBorder="1" applyAlignment="1" applyProtection="1"/>
    <xf numFmtId="170" fontId="3" fillId="4" borderId="25" xfId="0" applyNumberFormat="1" applyFont="1" applyFill="1" applyBorder="1" applyAlignment="1">
      <alignment horizontal="center" vertical="top" wrapText="1"/>
    </xf>
    <xf numFmtId="170" fontId="3" fillId="4" borderId="16" xfId="0" applyNumberFormat="1" applyFont="1" applyFill="1" applyBorder="1" applyAlignment="1">
      <alignment horizontal="center" vertical="top" wrapText="1"/>
    </xf>
    <xf numFmtId="170" fontId="3" fillId="4" borderId="16" xfId="0" applyNumberFormat="1" applyFont="1" applyFill="1" applyBorder="1" applyAlignment="1">
      <alignment vertical="top" wrapText="1"/>
    </xf>
    <xf numFmtId="170" fontId="3" fillId="4" borderId="4" xfId="0" applyNumberFormat="1" applyFont="1" applyFill="1" applyBorder="1" applyAlignment="1"/>
    <xf numFmtId="1" fontId="3" fillId="4" borderId="16" xfId="0" applyNumberFormat="1" applyFont="1" applyFill="1" applyBorder="1" applyAlignment="1">
      <alignment horizontal="center" vertical="top" wrapText="1"/>
    </xf>
    <xf numFmtId="1" fontId="3" fillId="4" borderId="4" xfId="0" applyNumberFormat="1" applyFont="1" applyFill="1" applyBorder="1" applyAlignment="1">
      <alignment horizontal="center" vertical="top" wrapText="1"/>
    </xf>
    <xf numFmtId="168" fontId="3" fillId="0" borderId="0" xfId="1" applyNumberFormat="1" applyFont="1" applyFill="1" applyBorder="1" applyAlignment="1" applyProtection="1"/>
    <xf numFmtId="1" fontId="3" fillId="4" borderId="12" xfId="0" applyNumberFormat="1" applyFont="1" applyFill="1" applyBorder="1" applyAlignment="1">
      <alignment horizontal="center" vertical="top" wrapText="1"/>
    </xf>
    <xf numFmtId="1" fontId="3" fillId="4" borderId="0" xfId="0" applyNumberFormat="1" applyFont="1" applyFill="1" applyBorder="1" applyAlignment="1">
      <alignment horizontal="center" vertical="top" wrapText="1"/>
    </xf>
    <xf numFmtId="168" fontId="3" fillId="4" borderId="4" xfId="1" applyNumberFormat="1" applyFont="1" applyFill="1" applyBorder="1" applyAlignment="1"/>
    <xf numFmtId="170" fontId="3" fillId="4" borderId="25" xfId="0" applyNumberFormat="1" applyFont="1" applyFill="1" applyBorder="1" applyAlignment="1">
      <alignment horizontal="center"/>
    </xf>
    <xf numFmtId="170" fontId="3" fillId="4" borderId="16" xfId="0" applyNumberFormat="1" applyFont="1" applyFill="1" applyBorder="1" applyAlignment="1">
      <alignment horizontal="center"/>
    </xf>
    <xf numFmtId="170" fontId="3" fillId="4" borderId="16" xfId="0" applyNumberFormat="1" applyFont="1" applyFill="1" applyBorder="1" applyAlignment="1"/>
    <xf numFmtId="1" fontId="3" fillId="4" borderId="16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70" fontId="3" fillId="0" borderId="23" xfId="0" applyNumberFormat="1" applyFont="1" applyFill="1" applyBorder="1" applyAlignment="1">
      <alignment horizontal="center" vertical="top" wrapText="1"/>
    </xf>
    <xf numFmtId="170" fontId="3" fillId="0" borderId="12" xfId="0" applyNumberFormat="1" applyFont="1" applyFill="1" applyBorder="1" applyAlignment="1">
      <alignment horizontal="center" vertical="top" wrapText="1"/>
    </xf>
    <xf numFmtId="170" fontId="3" fillId="0" borderId="12" xfId="0" applyNumberFormat="1" applyFont="1" applyFill="1" applyBorder="1" applyAlignment="1">
      <alignment vertical="top" wrapText="1"/>
    </xf>
    <xf numFmtId="170" fontId="3" fillId="0" borderId="0" xfId="0" applyNumberFormat="1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68" fontId="3" fillId="4" borderId="0" xfId="1" applyNumberFormat="1" applyFont="1" applyFill="1" applyBorder="1" applyAlignment="1" applyProtection="1"/>
    <xf numFmtId="170" fontId="3" fillId="4" borderId="23" xfId="0" applyNumberFormat="1" applyFont="1" applyFill="1" applyBorder="1" applyAlignment="1">
      <alignment horizontal="center" vertical="top" wrapText="1"/>
    </xf>
    <xf numFmtId="170" fontId="3" fillId="4" borderId="12" xfId="0" applyNumberFormat="1" applyFont="1" applyFill="1" applyBorder="1" applyAlignment="1">
      <alignment horizontal="center" vertical="top" wrapText="1"/>
    </xf>
    <xf numFmtId="170" fontId="3" fillId="4" borderId="12" xfId="0" applyNumberFormat="1" applyFont="1" applyFill="1" applyBorder="1" applyAlignment="1">
      <alignment vertical="top" wrapText="1"/>
    </xf>
    <xf numFmtId="170" fontId="3" fillId="4" borderId="0" xfId="0" applyNumberFormat="1" applyFont="1" applyFill="1" applyBorder="1" applyAlignment="1">
      <alignment vertical="top" wrapText="1"/>
    </xf>
    <xf numFmtId="168" fontId="3" fillId="0" borderId="0" xfId="1" applyNumberFormat="1" applyFont="1" applyFill="1" applyBorder="1" applyAlignment="1">
      <alignment vertical="top"/>
    </xf>
    <xf numFmtId="168" fontId="3" fillId="0" borderId="4" xfId="1" applyNumberFormat="1" applyFont="1" applyFill="1" applyBorder="1" applyAlignment="1">
      <alignment vertical="top"/>
    </xf>
    <xf numFmtId="170" fontId="3" fillId="0" borderId="25" xfId="0" applyNumberFormat="1" applyFont="1" applyFill="1" applyBorder="1" applyAlignment="1">
      <alignment horizontal="center" vertical="top" wrapText="1"/>
    </xf>
    <xf numFmtId="170" fontId="3" fillId="0" borderId="16" xfId="0" applyNumberFormat="1" applyFont="1" applyFill="1" applyBorder="1" applyAlignment="1">
      <alignment horizontal="center" vertical="top" wrapText="1"/>
    </xf>
    <xf numFmtId="170" fontId="3" fillId="0" borderId="16" xfId="0" applyNumberFormat="1" applyFont="1" applyFill="1" applyBorder="1" applyAlignment="1">
      <alignment vertical="top" wrapText="1"/>
    </xf>
    <xf numFmtId="170" fontId="3" fillId="0" borderId="4" xfId="0" applyNumberFormat="1" applyFont="1" applyFill="1" applyBorder="1" applyAlignment="1">
      <alignment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3" fontId="3" fillId="4" borderId="8" xfId="0" applyNumberFormat="1" applyFont="1" applyFill="1" applyBorder="1" applyAlignment="1"/>
    <xf numFmtId="168" fontId="3" fillId="4" borderId="8" xfId="1" applyNumberFormat="1" applyFont="1" applyFill="1" applyBorder="1" applyAlignment="1">
      <alignment vertical="top"/>
    </xf>
    <xf numFmtId="170" fontId="3" fillId="4" borderId="26" xfId="0" applyNumberFormat="1" applyFont="1" applyFill="1" applyBorder="1" applyAlignment="1">
      <alignment horizontal="center" vertical="top" wrapText="1"/>
    </xf>
    <xf numFmtId="170" fontId="3" fillId="4" borderId="19" xfId="0" applyNumberFormat="1" applyFont="1" applyFill="1" applyBorder="1" applyAlignment="1">
      <alignment horizontal="center" vertical="top" wrapText="1"/>
    </xf>
    <xf numFmtId="170" fontId="3" fillId="4" borderId="19" xfId="0" applyNumberFormat="1" applyFont="1" applyFill="1" applyBorder="1" applyAlignment="1">
      <alignment vertical="top" wrapText="1"/>
    </xf>
    <xf numFmtId="170" fontId="3" fillId="4" borderId="8" xfId="0" applyNumberFormat="1" applyFont="1" applyFill="1" applyBorder="1" applyAlignment="1">
      <alignment vertical="top" wrapText="1"/>
    </xf>
    <xf numFmtId="1" fontId="3" fillId="4" borderId="19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>
      <alignment horizontal="left" wrapText="1"/>
    </xf>
    <xf numFmtId="168" fontId="3" fillId="0" borderId="0" xfId="1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7" fontId="3" fillId="0" borderId="0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 applyProtection="1">
      <alignment horizontal="left" vertical="top"/>
    </xf>
    <xf numFmtId="166" fontId="3" fillId="0" borderId="0" xfId="2" applyNumberFormat="1" applyFont="1" applyAlignment="1">
      <alignment horizontal="left" wrapText="1"/>
    </xf>
    <xf numFmtId="0" fontId="0" fillId="0" borderId="0" xfId="0" applyNumberFormat="1" applyFont="1" applyAlignment="1" applyProtection="1">
      <alignment wrapText="1"/>
      <protection locked="0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/>
    <xf numFmtId="37" fontId="0" fillId="0" borderId="0" xfId="0" applyNumberFormat="1" applyFont="1" applyAlignment="1">
      <alignment wrapText="1"/>
    </xf>
    <xf numFmtId="37" fontId="0" fillId="0" borderId="0" xfId="0" applyNumberFormat="1" applyFont="1" applyBorder="1" applyAlignment="1">
      <alignment wrapText="1"/>
    </xf>
    <xf numFmtId="37" fontId="3" fillId="0" borderId="0" xfId="0" applyNumberFormat="1" applyFont="1" applyBorder="1" applyAlignment="1"/>
    <xf numFmtId="37" fontId="3" fillId="0" borderId="4" xfId="0" applyNumberFormat="1" applyFont="1" applyBorder="1" applyAlignment="1"/>
    <xf numFmtId="37" fontId="3" fillId="0" borderId="5" xfId="0" applyNumberFormat="1" applyFont="1" applyBorder="1" applyAlignment="1"/>
    <xf numFmtId="37" fontId="3" fillId="0" borderId="1" xfId="0" applyNumberFormat="1" applyFont="1" applyBorder="1" applyAlignment="1">
      <alignment horizontal="centerContinuous"/>
    </xf>
    <xf numFmtId="37" fontId="3" fillId="0" borderId="15" xfId="0" applyNumberFormat="1" applyFont="1" applyBorder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3" fillId="0" borderId="5" xfId="0" applyNumberFormat="1" applyFont="1" applyBorder="1" applyAlignment="1">
      <alignment horizontal="centerContinuous"/>
    </xf>
    <xf numFmtId="37" fontId="3" fillId="0" borderId="5" xfId="0" applyNumberFormat="1" applyFont="1" applyBorder="1" applyAlignment="1">
      <alignment horizontal="center"/>
    </xf>
    <xf numFmtId="37" fontId="3" fillId="0" borderId="12" xfId="0" applyNumberFormat="1" applyFont="1" applyBorder="1" applyAlignment="1">
      <alignment horizontal="center"/>
    </xf>
    <xf numFmtId="37" fontId="3" fillId="0" borderId="5" xfId="0" applyNumberFormat="1" applyFont="1" applyBorder="1" applyAlignment="1">
      <alignment horizontal="right"/>
    </xf>
    <xf numFmtId="37" fontId="3" fillId="0" borderId="13" xfId="0" applyNumberFormat="1" applyFont="1" applyBorder="1" applyAlignment="1">
      <alignment horizontal="center"/>
    </xf>
    <xf numFmtId="37" fontId="3" fillId="0" borderId="15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7" fontId="3" fillId="0" borderId="16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5" fontId="3" fillId="0" borderId="16" xfId="1" applyNumberFormat="1" applyFont="1" applyFill="1" applyBorder="1" applyAlignment="1">
      <alignment horizontal="right"/>
    </xf>
    <xf numFmtId="170" fontId="3" fillId="0" borderId="4" xfId="0" applyNumberFormat="1" applyFont="1" applyFill="1" applyBorder="1" applyAlignment="1">
      <alignment horizontal="center"/>
    </xf>
    <xf numFmtId="168" fontId="3" fillId="0" borderId="12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center"/>
    </xf>
    <xf numFmtId="171" fontId="3" fillId="0" borderId="0" xfId="0" applyNumberFormat="1" applyFont="1" applyFill="1" applyAlignment="1"/>
    <xf numFmtId="167" fontId="3" fillId="0" borderId="0" xfId="1" applyNumberFormat="1" applyFont="1" applyFill="1" applyBorder="1" applyAlignment="1">
      <alignment horizontal="right"/>
    </xf>
    <xf numFmtId="168" fontId="3" fillId="4" borderId="12" xfId="1" applyNumberFormat="1" applyFont="1" applyFill="1" applyBorder="1" applyAlignment="1">
      <alignment horizontal="right"/>
    </xf>
    <xf numFmtId="170" fontId="3" fillId="4" borderId="0" xfId="0" applyNumberFormat="1" applyFont="1" applyFill="1" applyBorder="1" applyAlignment="1">
      <alignment horizontal="center"/>
    </xf>
    <xf numFmtId="171" fontId="3" fillId="4" borderId="0" xfId="0" applyNumberFormat="1" applyFont="1" applyFill="1" applyAlignment="1"/>
    <xf numFmtId="171" fontId="3" fillId="0" borderId="0" xfId="0" applyNumberFormat="1" applyFont="1" applyAlignment="1"/>
    <xf numFmtId="171" fontId="3" fillId="4" borderId="0" xfId="0" applyNumberFormat="1" applyFont="1" applyFill="1" applyBorder="1" applyAlignment="1"/>
    <xf numFmtId="168" fontId="3" fillId="0" borderId="16" xfId="1" applyNumberFormat="1" applyFont="1" applyFill="1" applyBorder="1" applyAlignment="1">
      <alignment horizontal="right"/>
    </xf>
    <xf numFmtId="171" fontId="3" fillId="0" borderId="4" xfId="0" applyNumberFormat="1" applyFont="1" applyBorder="1" applyAlignment="1"/>
    <xf numFmtId="168" fontId="3" fillId="0" borderId="12" xfId="1" applyNumberFormat="1" applyFont="1" applyFill="1" applyBorder="1" applyAlignment="1"/>
    <xf numFmtId="171" fontId="3" fillId="4" borderId="0" xfId="0" applyNumberFormat="1" applyFont="1" applyFill="1" applyAlignment="1">
      <alignment horizontal="right"/>
    </xf>
    <xf numFmtId="168" fontId="3" fillId="4" borderId="12" xfId="1" applyNumberFormat="1" applyFont="1" applyFill="1" applyBorder="1" applyAlignment="1"/>
    <xf numFmtId="168" fontId="3" fillId="4" borderId="16" xfId="1" applyNumberFormat="1" applyFont="1" applyFill="1" applyBorder="1" applyAlignment="1" applyProtection="1"/>
    <xf numFmtId="170" fontId="3" fillId="4" borderId="4" xfId="0" applyNumberFormat="1" applyFont="1" applyFill="1" applyBorder="1" applyAlignment="1">
      <alignment horizontal="center" vertical="top" wrapText="1"/>
    </xf>
    <xf numFmtId="170" fontId="3" fillId="4" borderId="4" xfId="0" applyNumberFormat="1" applyFont="1" applyFill="1" applyBorder="1" applyAlignment="1">
      <alignment vertical="top" wrapText="1"/>
    </xf>
    <xf numFmtId="171" fontId="3" fillId="4" borderId="4" xfId="0" applyNumberFormat="1" applyFont="1" applyFill="1" applyBorder="1" applyAlignment="1"/>
    <xf numFmtId="168" fontId="3" fillId="0" borderId="12" xfId="1" applyNumberFormat="1" applyFont="1" applyFill="1" applyBorder="1" applyAlignment="1" applyProtection="1"/>
    <xf numFmtId="168" fontId="3" fillId="4" borderId="16" xfId="1" applyNumberFormat="1" applyFont="1" applyFill="1" applyBorder="1" applyAlignment="1"/>
    <xf numFmtId="170" fontId="3" fillId="4" borderId="4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 vertical="top" wrapText="1"/>
    </xf>
    <xf numFmtId="168" fontId="3" fillId="4" borderId="12" xfId="1" applyNumberFormat="1" applyFont="1" applyFill="1" applyBorder="1" applyAlignment="1" applyProtection="1"/>
    <xf numFmtId="170" fontId="3" fillId="4" borderId="0" xfId="0" applyNumberFormat="1" applyFont="1" applyFill="1" applyBorder="1" applyAlignment="1">
      <alignment horizontal="center" vertical="top" wrapText="1"/>
    </xf>
    <xf numFmtId="168" fontId="3" fillId="0" borderId="12" xfId="1" applyNumberFormat="1" applyFont="1" applyFill="1" applyBorder="1" applyAlignment="1">
      <alignment vertical="top"/>
    </xf>
    <xf numFmtId="171" fontId="3" fillId="0" borderId="0" xfId="0" applyNumberFormat="1" applyFont="1" applyFill="1" applyBorder="1" applyAlignment="1"/>
    <xf numFmtId="171" fontId="3" fillId="0" borderId="0" xfId="0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vertical="top"/>
    </xf>
    <xf numFmtId="170" fontId="3" fillId="0" borderId="4" xfId="0" applyNumberFormat="1" applyFont="1" applyFill="1" applyBorder="1" applyAlignment="1">
      <alignment horizontal="center" vertical="top" wrapText="1"/>
    </xf>
    <xf numFmtId="171" fontId="3" fillId="0" borderId="4" xfId="0" applyNumberFormat="1" applyFont="1" applyFill="1" applyBorder="1" applyAlignment="1"/>
    <xf numFmtId="168" fontId="3" fillId="4" borderId="19" xfId="1" applyNumberFormat="1" applyFont="1" applyFill="1" applyBorder="1" applyAlignment="1">
      <alignment vertical="top"/>
    </xf>
    <xf numFmtId="170" fontId="3" fillId="4" borderId="8" xfId="0" applyNumberFormat="1" applyFont="1" applyFill="1" applyBorder="1" applyAlignment="1">
      <alignment horizontal="center" vertical="top" wrapText="1"/>
    </xf>
    <xf numFmtId="171" fontId="3" fillId="4" borderId="8" xfId="0" applyNumberFormat="1" applyFont="1" applyFill="1" applyBorder="1" applyAlignment="1"/>
    <xf numFmtId="37" fontId="3" fillId="0" borderId="0" xfId="0" applyNumberFormat="1" applyFont="1" applyFill="1" applyAlignment="1">
      <alignment horizontal="left" vertical="top"/>
    </xf>
    <xf numFmtId="37" fontId="0" fillId="0" borderId="0" xfId="0" applyNumberFormat="1" applyFont="1" applyAlignment="1"/>
    <xf numFmtId="37" fontId="0" fillId="0" borderId="0" xfId="0" applyNumberFormat="1" applyFont="1" applyBorder="1" applyAlignment="1"/>
    <xf numFmtId="37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Alignment="1" applyProtection="1">
      <alignment horizontal="right" vertical="top"/>
    </xf>
    <xf numFmtId="0" fontId="3" fillId="0" borderId="0" xfId="0" applyFont="1" applyBorder="1" applyAlignment="1">
      <alignment horizontal="left" vertical="top"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Alignment="1" applyProtection="1">
      <alignment horizontal="right"/>
    </xf>
    <xf numFmtId="169" fontId="3" fillId="0" borderId="0" xfId="0" applyNumberFormat="1" applyFont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 applyProtection="1">
      <alignment horizontal="left" vertical="top"/>
    </xf>
    <xf numFmtId="37" fontId="3" fillId="0" borderId="25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 wrapText="1"/>
    </xf>
    <xf numFmtId="171" fontId="3" fillId="0" borderId="16" xfId="1" applyNumberFormat="1" applyFont="1" applyFill="1" applyBorder="1" applyAlignment="1">
      <alignment horizontal="right"/>
    </xf>
    <xf numFmtId="171" fontId="3" fillId="0" borderId="12" xfId="1" applyNumberFormat="1" applyFont="1" applyFill="1" applyBorder="1" applyAlignment="1">
      <alignment horizontal="right"/>
    </xf>
    <xf numFmtId="171" fontId="3" fillId="0" borderId="12" xfId="2" applyNumberFormat="1" applyFont="1" applyFill="1" applyBorder="1" applyAlignment="1">
      <alignment horizontal="right"/>
    </xf>
    <xf numFmtId="171" fontId="3" fillId="4" borderId="12" xfId="1" applyNumberFormat="1" applyFont="1" applyFill="1" applyBorder="1" applyAlignment="1">
      <alignment horizontal="right"/>
    </xf>
    <xf numFmtId="171" fontId="3" fillId="0" borderId="12" xfId="1" applyNumberFormat="1" applyFont="1" applyFill="1" applyBorder="1" applyAlignment="1"/>
    <xf numFmtId="171" fontId="3" fillId="4" borderId="12" xfId="1" applyNumberFormat="1" applyFont="1" applyFill="1" applyBorder="1" applyAlignment="1"/>
    <xf numFmtId="171" fontId="3" fillId="4" borderId="16" xfId="1" applyNumberFormat="1" applyFont="1" applyFill="1" applyBorder="1" applyAlignment="1" applyProtection="1"/>
    <xf numFmtId="171" fontId="3" fillId="0" borderId="12" xfId="1" applyNumberFormat="1" applyFont="1" applyFill="1" applyBorder="1" applyAlignment="1" applyProtection="1"/>
    <xf numFmtId="171" fontId="3" fillId="4" borderId="16" xfId="1" applyNumberFormat="1" applyFont="1" applyFill="1" applyBorder="1" applyAlignment="1"/>
    <xf numFmtId="171" fontId="3" fillId="4" borderId="12" xfId="1" applyNumberFormat="1" applyFont="1" applyFill="1" applyBorder="1" applyAlignment="1" applyProtection="1"/>
    <xf numFmtId="171" fontId="3" fillId="0" borderId="12" xfId="1" applyNumberFormat="1" applyFont="1" applyFill="1" applyBorder="1" applyAlignment="1">
      <alignment vertical="top"/>
    </xf>
    <xf numFmtId="171" fontId="3" fillId="0" borderId="16" xfId="1" applyNumberFormat="1" applyFont="1" applyFill="1" applyBorder="1" applyAlignment="1">
      <alignment vertical="top"/>
    </xf>
    <xf numFmtId="171" fontId="3" fillId="4" borderId="19" xfId="1" applyNumberFormat="1" applyFont="1" applyFill="1" applyBorder="1" applyAlignment="1">
      <alignment vertical="top"/>
    </xf>
    <xf numFmtId="0" fontId="18" fillId="0" borderId="0" xfId="0" applyFont="1">
      <alignment horizontal="left" wrapText="1"/>
    </xf>
    <xf numFmtId="168" fontId="19" fillId="0" borderId="0" xfId="0" applyNumberFormat="1" applyFont="1" applyAlignment="1"/>
    <xf numFmtId="168" fontId="19" fillId="0" borderId="4" xfId="0" applyNumberFormat="1" applyFont="1" applyBorder="1" applyAlignment="1"/>
    <xf numFmtId="37" fontId="3" fillId="5" borderId="0" xfId="0" applyNumberFormat="1" applyFont="1" applyFill="1" applyBorder="1" applyAlignment="1">
      <alignment horizontal="right"/>
    </xf>
    <xf numFmtId="0" fontId="3" fillId="0" borderId="12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NumberFormat="1" applyAlignment="1">
      <alignment vertical="top" wrapText="1"/>
    </xf>
    <xf numFmtId="37" fontId="0" fillId="0" borderId="0" xfId="0" applyNumberFormat="1" applyAlignment="1">
      <alignment wrapText="1"/>
    </xf>
    <xf numFmtId="0" fontId="3" fillId="0" borderId="0" xfId="0" applyFont="1" applyFill="1" applyBorder="1" applyAlignment="1" applyProtection="1">
      <alignment horizontal="left" vertical="top" wrapText="1"/>
    </xf>
    <xf numFmtId="37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M74"/>
  <sheetViews>
    <sheetView showGridLines="0" view="pageBreakPreview" zoomScale="90" zoomScaleSheetLayoutView="90" workbookViewId="0">
      <selection activeCell="A70" sqref="A70:I70"/>
    </sheetView>
  </sheetViews>
  <sheetFormatPr defaultColWidth="9.7109375" defaultRowHeight="12.75"/>
  <cols>
    <col min="1" max="1" width="8.85546875" style="7" customWidth="1"/>
    <col min="2" max="2" width="8" style="7" customWidth="1"/>
    <col min="3" max="3" width="10.7109375" style="7" customWidth="1"/>
    <col min="4" max="4" width="15.42578125" style="96" customWidth="1"/>
    <col min="5" max="5" width="16" style="7" customWidth="1"/>
    <col min="6" max="7" width="10" style="7" customWidth="1"/>
    <col min="8" max="8" width="8.28515625" style="7" customWidth="1"/>
    <col min="9" max="9" width="7.140625" style="96" customWidth="1"/>
    <col min="10" max="10" width="21.42578125" style="7" customWidth="1"/>
    <col min="11" max="11" width="9.7109375" style="7"/>
    <col min="12" max="12" width="12.5703125" style="7" bestFit="1" customWidth="1"/>
    <col min="13" max="16384" width="9.7109375" style="7"/>
  </cols>
  <sheetData>
    <row r="1" spans="1:10">
      <c r="A1" s="93" t="s">
        <v>18</v>
      </c>
      <c r="B1" s="93"/>
      <c r="C1" s="94"/>
      <c r="D1" s="95"/>
      <c r="E1" s="94"/>
      <c r="F1" s="94"/>
      <c r="G1" s="94"/>
    </row>
    <row r="2" spans="1:10">
      <c r="A2" s="93" t="s">
        <v>12</v>
      </c>
      <c r="B2" s="93"/>
      <c r="C2" s="94"/>
      <c r="D2" s="97"/>
      <c r="E2" s="94"/>
      <c r="F2" s="94"/>
      <c r="G2" s="94"/>
    </row>
    <row r="3" spans="1:10">
      <c r="A3" s="98"/>
      <c r="B3" s="98"/>
      <c r="C3" s="98"/>
      <c r="D3" s="98"/>
      <c r="E3" s="98"/>
      <c r="F3" s="98"/>
      <c r="G3" s="98"/>
      <c r="H3" s="99"/>
      <c r="I3" s="99"/>
    </row>
    <row r="4" spans="1:10">
      <c r="A4" s="100"/>
      <c r="B4" s="100"/>
      <c r="C4" s="101" t="s">
        <v>83</v>
      </c>
      <c r="D4" s="102"/>
      <c r="E4" s="103" t="s">
        <v>84</v>
      </c>
      <c r="F4" s="104"/>
      <c r="G4" s="105"/>
      <c r="H4" s="106"/>
      <c r="I4" s="107"/>
    </row>
    <row r="5" spans="1:10" ht="14.25">
      <c r="A5" s="100"/>
      <c r="B5" s="100"/>
      <c r="C5" s="101" t="s">
        <v>73</v>
      </c>
      <c r="D5" s="108" t="s">
        <v>85</v>
      </c>
      <c r="E5" s="109" t="s">
        <v>14</v>
      </c>
      <c r="F5" s="304" t="s">
        <v>86</v>
      </c>
      <c r="G5" s="305"/>
      <c r="H5" s="110" t="s">
        <v>6</v>
      </c>
      <c r="I5" s="111"/>
    </row>
    <row r="6" spans="1:10" ht="11.25" customHeight="1">
      <c r="A6" s="100"/>
      <c r="B6" s="100"/>
      <c r="C6" s="286" t="s">
        <v>101</v>
      </c>
      <c r="D6" s="112" t="s">
        <v>25</v>
      </c>
      <c r="E6" s="112" t="s">
        <v>25</v>
      </c>
      <c r="F6" s="113" t="s">
        <v>93</v>
      </c>
      <c r="G6" s="114"/>
      <c r="H6" s="115" t="s">
        <v>7</v>
      </c>
      <c r="I6" s="114"/>
    </row>
    <row r="7" spans="1:10">
      <c r="A7" s="116"/>
      <c r="B7" s="116"/>
      <c r="C7" s="117" t="s">
        <v>19</v>
      </c>
      <c r="D7" s="118" t="s">
        <v>19</v>
      </c>
      <c r="E7" s="118" t="s">
        <v>19</v>
      </c>
      <c r="F7" s="119" t="s">
        <v>107</v>
      </c>
      <c r="G7" s="117" t="s">
        <v>19</v>
      </c>
      <c r="H7" s="119" t="s">
        <v>107</v>
      </c>
      <c r="I7" s="117" t="s">
        <v>19</v>
      </c>
    </row>
    <row r="8" spans="1:10">
      <c r="A8" s="63" t="s">
        <v>11</v>
      </c>
      <c r="B8" s="63"/>
      <c r="C8" s="120">
        <f>+'Salary DATA'!AI6</f>
        <v>77936.578936613063</v>
      </c>
      <c r="D8" s="121">
        <f>(('Salary DATA'!AI6-'Salary DATA'!AH6)/+'Salary DATA'!AH6)*100</f>
        <v>1.2216907587170196</v>
      </c>
      <c r="E8" s="122">
        <f>(('All Ranks Constant $'!C3-'All Ranks Constant $'!B3)/'All Ranks Constant $'!B3)*100</f>
        <v>1.4459584530482336E-2</v>
      </c>
      <c r="F8" s="123"/>
      <c r="G8" s="124"/>
      <c r="H8" s="123"/>
      <c r="I8" s="124"/>
    </row>
    <row r="9" spans="1:10">
      <c r="A9" s="61" t="s">
        <v>66</v>
      </c>
      <c r="B9" s="61"/>
      <c r="C9" s="125">
        <f>+'Salary DATA'!AI10</f>
        <v>73954.52597053448</v>
      </c>
      <c r="D9" s="126">
        <f>(('Salary DATA'!AI10-'Salary DATA'!AH10)/+'Salary DATA'!AH10)*100</f>
        <v>0.6748000107200699</v>
      </c>
      <c r="E9" s="127">
        <f>(('All Ranks Constant $'!C7-'All Ranks Constant $'!B7)/'All Ranks Constant $'!B7)*100</f>
        <v>-0.52590861326100158</v>
      </c>
      <c r="F9" s="128">
        <f>('Salary DATA'!AH10/'Salary DATA'!$AH$6)*100</f>
        <v>95.406119317772934</v>
      </c>
      <c r="G9" s="129">
        <f>('Salary DATA'!AI10/'Salary DATA'!$AI$6)*100</f>
        <v>94.890649525023107</v>
      </c>
      <c r="H9" s="128"/>
      <c r="I9" s="129"/>
    </row>
    <row r="10" spans="1:10" s="131" customFormat="1">
      <c r="A10" s="61"/>
      <c r="B10" s="61"/>
      <c r="C10" s="130"/>
      <c r="D10" s="126"/>
      <c r="E10" s="127"/>
      <c r="F10" s="128"/>
      <c r="G10" s="129"/>
      <c r="H10" s="128"/>
      <c r="I10" s="129"/>
    </row>
    <row r="11" spans="1:10" s="131" customFormat="1">
      <c r="A11" s="132" t="s">
        <v>46</v>
      </c>
      <c r="B11" s="132"/>
      <c r="C11" s="133">
        <f>+'Salary DATA'!AI12</f>
        <v>72751.781656992593</v>
      </c>
      <c r="D11" s="134">
        <f>(('Salary DATA'!AI12-'Salary DATA'!AH12)/+'Salary DATA'!AH12)*100</f>
        <v>1.3901262590546011</v>
      </c>
      <c r="E11" s="135">
        <f>(('All Ranks Constant $'!C9-'All Ranks Constant $'!B9)/'All Ranks Constant $'!B9)*100</f>
        <v>0.18088622110258046</v>
      </c>
      <c r="F11" s="136">
        <f>('Salary DATA'!AH12/'Salary DATA'!$AH$6)*100</f>
        <v>93.192340391788491</v>
      </c>
      <c r="G11" s="137">
        <f>('Salary DATA'!AI12/'Salary DATA'!$AI$6)*100</f>
        <v>93.347414846323517</v>
      </c>
      <c r="H11" s="138">
        <f>RANK('Salary DATA'!AH12,'Salary DATA'!$AH$12:$AH$64)</f>
        <v>31</v>
      </c>
      <c r="I11" s="139">
        <f>RANK('Salary DATA'!AI12,'Salary DATA'!$AI$12:$AI$64)</f>
        <v>31</v>
      </c>
      <c r="J11" s="140"/>
    </row>
    <row r="12" spans="1:10" s="131" customFormat="1">
      <c r="A12" s="132" t="s">
        <v>47</v>
      </c>
      <c r="B12" s="132"/>
      <c r="C12" s="133">
        <f>+'Salary DATA'!AI13</f>
        <v>61129.79961629834</v>
      </c>
      <c r="D12" s="134">
        <f>(('Salary DATA'!AI13-'Salary DATA'!AH13)/+'Salary DATA'!AH13)*100</f>
        <v>2.2373268723656219</v>
      </c>
      <c r="E12" s="135">
        <f>(('All Ranks Constant $'!C10-'All Ranks Constant $'!B10)/'All Ranks Constant $'!B10)*100</f>
        <v>1.0179826069153981</v>
      </c>
      <c r="F12" s="136">
        <f>('Salary DATA'!AH13/'Salary DATA'!$AH$6)*100</f>
        <v>77.656128520712414</v>
      </c>
      <c r="G12" s="137">
        <f>('Salary DATA'!AI13/'Salary DATA'!$AI$6)*100</f>
        <v>78.435312981874759</v>
      </c>
      <c r="H12" s="138">
        <f>RANK('Salary DATA'!AH13,'Salary DATA'!$AH$12:$AH$64)</f>
        <v>50</v>
      </c>
      <c r="I12" s="139">
        <f>RANK('Salary DATA'!AI13,'Salary DATA'!$AI$12:$AI$64)</f>
        <v>49</v>
      </c>
      <c r="J12" s="140"/>
    </row>
    <row r="13" spans="1:10" s="131" customFormat="1">
      <c r="A13" s="132" t="s">
        <v>65</v>
      </c>
      <c r="B13" s="132"/>
      <c r="C13" s="133">
        <f>+'Salary DATA'!AI14</f>
        <v>94474.343564954674</v>
      </c>
      <c r="D13" s="134">
        <f>(('Salary DATA'!AI14-'Salary DATA'!AH14)/+'Salary DATA'!AH14)*100</f>
        <v>0.9897136721494677</v>
      </c>
      <c r="E13" s="135">
        <f>(('All Ranks Constant $'!C11-'All Ranks Constant $'!B11)/'All Ranks Constant $'!B11)*100</f>
        <v>-0.21475080283946249</v>
      </c>
      <c r="F13" s="136">
        <f>('Salary DATA'!AH14/'Salary DATA'!$AH$6)*100</f>
        <v>121.49796141780035</v>
      </c>
      <c r="G13" s="137">
        <f>('Salary DATA'!AI14/'Salary DATA'!$AI$6)*100</f>
        <v>121.21951573187735</v>
      </c>
      <c r="H13" s="138">
        <f>RANK('Salary DATA'!AH14,'Salary DATA'!$AH$12:$AH$64)</f>
        <v>2</v>
      </c>
      <c r="I13" s="139">
        <f>RANK('Salary DATA'!AI14,'Salary DATA'!$AI$12:$AI$64)</f>
        <v>2</v>
      </c>
      <c r="J13" s="140"/>
    </row>
    <row r="14" spans="1:10" s="131" customFormat="1">
      <c r="A14" s="132" t="s">
        <v>48</v>
      </c>
      <c r="B14" s="132"/>
      <c r="C14" s="133">
        <f>+'Salary DATA'!AI15</f>
        <v>78037.041880881632</v>
      </c>
      <c r="D14" s="134">
        <f>(('Salary DATA'!AI15-'Salary DATA'!AH15)/+'Salary DATA'!AH15)*100</f>
        <v>2.2541219893413231</v>
      </c>
      <c r="E14" s="135">
        <f>(('All Ranks Constant $'!C12-'All Ranks Constant $'!B12)/'All Ranks Constant $'!B12)*100</f>
        <v>1.034577415156531</v>
      </c>
      <c r="F14" s="136">
        <f>('Salary DATA'!AH15/'Salary DATA'!$AH$6)*100</f>
        <v>99.117929962355049</v>
      </c>
      <c r="G14" s="137">
        <f>('Salary DATA'!AI15/'Salary DATA'!$AI$6)*100</f>
        <v>100.12890345668146</v>
      </c>
      <c r="H14" s="138">
        <f>RANK('Salary DATA'!AH15,'Salary DATA'!$AH$12:$AH$64)</f>
        <v>22</v>
      </c>
      <c r="I14" s="139">
        <f>RANK('Salary DATA'!AI15,'Salary DATA'!$AI$12:$AI$64)</f>
        <v>21</v>
      </c>
      <c r="J14" s="140"/>
    </row>
    <row r="15" spans="1:10">
      <c r="A15" s="141" t="s">
        <v>49</v>
      </c>
      <c r="B15" s="141"/>
      <c r="C15" s="125">
        <f>+'Salary DATA'!AI16</f>
        <v>72774.068051609604</v>
      </c>
      <c r="D15" s="126">
        <f>(('Salary DATA'!AI16-'Salary DATA'!AH16)/+'Salary DATA'!AH16)*100</f>
        <v>-1.9075245533190899E-2</v>
      </c>
      <c r="E15" s="127">
        <f>(('All Ranks Constant $'!C13-'All Ranks Constant $'!B13)/'All Ranks Constant $'!B13)*100</f>
        <v>-1.2115082930635168</v>
      </c>
      <c r="F15" s="128">
        <f>('Salary DATA'!AH16/'Salary DATA'!$AH$6)*100</f>
        <v>94.534809234752984</v>
      </c>
      <c r="G15" s="129">
        <f>('Salary DATA'!AI16/'Salary DATA'!$AI$6)*100</f>
        <v>93.376010397887484</v>
      </c>
      <c r="H15" s="142">
        <f>RANK('Salary DATA'!AH16,'Salary DATA'!$AH$12:$AH$64)</f>
        <v>29</v>
      </c>
      <c r="I15" s="143">
        <f>RANK('Salary DATA'!AI16,'Salary DATA'!$AI$12:$AI$64)</f>
        <v>30</v>
      </c>
      <c r="J15" s="140"/>
    </row>
    <row r="16" spans="1:10">
      <c r="A16" s="141" t="s">
        <v>50</v>
      </c>
      <c r="B16" s="141"/>
      <c r="C16" s="125">
        <f>+'Salary DATA'!AI17</f>
        <v>69042.577551673312</v>
      </c>
      <c r="D16" s="126">
        <f>(('Salary DATA'!AI17-'Salary DATA'!AH17)/+'Salary DATA'!AH17)*100</f>
        <v>1.1452240191849195</v>
      </c>
      <c r="E16" s="127">
        <f>(('All Ranks Constant $'!C14-'All Ranks Constant $'!B14)/'All Ranks Constant $'!B14)*100</f>
        <v>-6.10951663649867E-2</v>
      </c>
      <c r="F16" s="128">
        <f>('Salary DATA'!AH17/'Salary DATA'!$AH$6)*100</f>
        <v>88.655128736269802</v>
      </c>
      <c r="G16" s="129">
        <f>('Salary DATA'!AI17/'Salary DATA'!$AI$6)*100</f>
        <v>88.588155258683642</v>
      </c>
      <c r="H16" s="142">
        <f>RANK('Salary DATA'!AH17,'Salary DATA'!$AH$12:$AH$64)</f>
        <v>39</v>
      </c>
      <c r="I16" s="143">
        <f>RANK('Salary DATA'!AI17,'Salary DATA'!$AI$12:$AI$64)</f>
        <v>39</v>
      </c>
      <c r="J16" s="140"/>
    </row>
    <row r="17" spans="1:10">
      <c r="A17" s="141" t="s">
        <v>51</v>
      </c>
      <c r="B17" s="141"/>
      <c r="C17" s="125">
        <f>+'Salary DATA'!AI18</f>
        <v>65908.823999419736</v>
      </c>
      <c r="D17" s="126">
        <f>(('Salary DATA'!AI18-'Salary DATA'!AH18)/+'Salary DATA'!AH18)*100</f>
        <v>0.66352805521902891</v>
      </c>
      <c r="E17" s="127">
        <f>(('All Ranks Constant $'!C15-'All Ranks Constant $'!B15)/'All Ranks Constant $'!B15)*100</f>
        <v>-0.53704613259549783</v>
      </c>
      <c r="F17" s="128">
        <f>('Salary DATA'!AH18/'Salary DATA'!$AH$6)*100</f>
        <v>85.036164648852775</v>
      </c>
      <c r="G17" s="129">
        <f>('Salary DATA'!AI18/'Salary DATA'!$AI$6)*100</f>
        <v>84.567253141845413</v>
      </c>
      <c r="H17" s="142">
        <f>RANK('Salary DATA'!AH18,'Salary DATA'!$AH$12:$AH$64)</f>
        <v>43</v>
      </c>
      <c r="I17" s="143">
        <f>RANK('Salary DATA'!AI18,'Salary DATA'!$AI$12:$AI$64)</f>
        <v>44</v>
      </c>
      <c r="J17" s="140"/>
    </row>
    <row r="18" spans="1:10">
      <c r="A18" s="141" t="s">
        <v>52</v>
      </c>
      <c r="B18" s="141"/>
      <c r="C18" s="125">
        <f>+'Salary DATA'!AI19</f>
        <v>87322.115685592813</v>
      </c>
      <c r="D18" s="126">
        <f>(('Salary DATA'!AI19-'Salary DATA'!AH19)/+'Salary DATA'!AH19)*100</f>
        <v>7.5942990552440426</v>
      </c>
      <c r="E18" s="127">
        <f>(('All Ranks Constant $'!C16-'All Ranks Constant $'!B16)/'All Ranks Constant $'!B16)*100</f>
        <v>6.3110642958695813</v>
      </c>
      <c r="F18" s="128">
        <f>('Salary DATA'!AH19/'Salary DATA'!$AH$6)*100</f>
        <v>105.40646236284393</v>
      </c>
      <c r="G18" s="129">
        <f>('Salary DATA'!AI19/'Salary DATA'!$AI$6)*100</f>
        <v>112.04253109007152</v>
      </c>
      <c r="H18" s="142">
        <f>RANK('Salary DATA'!AH19,'Salary DATA'!$AH$12:$AH$64)</f>
        <v>11</v>
      </c>
      <c r="I18" s="143">
        <f>RANK('Salary DATA'!AI19,'Salary DATA'!$AI$12:$AI$64)</f>
        <v>6</v>
      </c>
      <c r="J18" s="140"/>
    </row>
    <row r="19" spans="1:10" s="131" customFormat="1">
      <c r="A19" s="144" t="s">
        <v>53</v>
      </c>
      <c r="B19" s="144"/>
      <c r="C19" s="133">
        <f>+'Salary DATA'!AI20</f>
        <v>62816.482272798901</v>
      </c>
      <c r="D19" s="134">
        <f>(('Salary DATA'!AI20-'Salary DATA'!AH20)/+'Salary DATA'!AH20)*100</f>
        <v>0.46121396474704057</v>
      </c>
      <c r="E19" s="135">
        <f>(('All Ranks Constant $'!C17-'All Ranks Constant $'!B17)/'All Ranks Constant $'!B17)*100</f>
        <v>-0.73694730272242015</v>
      </c>
      <c r="F19" s="136">
        <f>('Salary DATA'!AH20/'Salary DATA'!$AH$6)*100</f>
        <v>81.209612714256139</v>
      </c>
      <c r="G19" s="137">
        <f>('Salary DATA'!AI20/'Salary DATA'!$AI$6)*100</f>
        <v>80.599486312952536</v>
      </c>
      <c r="H19" s="138">
        <f>RANK('Salary DATA'!AH20,'Salary DATA'!$AH$12:$AH$64)</f>
        <v>46</v>
      </c>
      <c r="I19" s="139">
        <f>RANK('Salary DATA'!AI20,'Salary DATA'!$AI$12:$AI$64)</f>
        <v>46</v>
      </c>
      <c r="J19" s="140"/>
    </row>
    <row r="20" spans="1:10" s="131" customFormat="1">
      <c r="A20" s="144" t="s">
        <v>54</v>
      </c>
      <c r="B20" s="144"/>
      <c r="C20" s="133">
        <f>+'Salary DATA'!AI21</f>
        <v>79332.810015933195</v>
      </c>
      <c r="D20" s="134">
        <f>(('Salary DATA'!AI21-'Salary DATA'!AH21)/+'Salary DATA'!AH21)*100</f>
        <v>-0.25198004468371427</v>
      </c>
      <c r="E20" s="135">
        <f>(('All Ranks Constant $'!C18-'All Ranks Constant $'!B18)/'All Ranks Constant $'!B18)*100</f>
        <v>-1.4416353285544594</v>
      </c>
      <c r="F20" s="136">
        <f>('Salary DATA'!AH21/'Salary DATA'!$AH$6)*100</f>
        <v>103.29535748794645</v>
      </c>
      <c r="G20" s="137">
        <f>('Salary DATA'!AI21/'Salary DATA'!$AI$6)*100</f>
        <v>101.79149649416317</v>
      </c>
      <c r="H20" s="138">
        <f>RANK('Salary DATA'!AH21,'Salary DATA'!$AH$12:$AH$64)</f>
        <v>16</v>
      </c>
      <c r="I20" s="139">
        <f>RANK('Salary DATA'!AI21,'Salary DATA'!$AI$12:$AI$64)</f>
        <v>17</v>
      </c>
      <c r="J20" s="140"/>
    </row>
    <row r="21" spans="1:10" s="131" customFormat="1">
      <c r="A21" s="144" t="s">
        <v>55</v>
      </c>
      <c r="B21" s="144"/>
      <c r="C21" s="133">
        <f>+'Salary DATA'!AI22</f>
        <v>66816.984268899527</v>
      </c>
      <c r="D21" s="134">
        <f>(('Salary DATA'!AI22-'Salary DATA'!AH22)/+'Salary DATA'!AH22)*100</f>
        <v>0.29561264691688588</v>
      </c>
      <c r="E21" s="135">
        <f>(('All Ranks Constant $'!C19-'All Ranks Constant $'!B19)/'All Ranks Constant $'!B19)*100</f>
        <v>-0.90057355896377855</v>
      </c>
      <c r="F21" s="136">
        <f>('Salary DATA'!AH22/'Salary DATA'!$AH$6)*100</f>
        <v>86.524118536098626</v>
      </c>
      <c r="G21" s="137">
        <f>('Salary DATA'!AI22/'Salary DATA'!$AI$6)*100</f>
        <v>85.732508637879448</v>
      </c>
      <c r="H21" s="138">
        <f>RANK('Salary DATA'!AH22,'Salary DATA'!$AH$12:$AH$64)</f>
        <v>41</v>
      </c>
      <c r="I21" s="139">
        <f>RANK('Salary DATA'!AI22,'Salary DATA'!$AI$12:$AI$64)</f>
        <v>41</v>
      </c>
      <c r="J21" s="140"/>
    </row>
    <row r="22" spans="1:10" s="131" customFormat="1">
      <c r="A22" s="144" t="s">
        <v>56</v>
      </c>
      <c r="B22" s="144"/>
      <c r="C22" s="133">
        <f>+'Salary DATA'!AI23</f>
        <v>70294.330321588102</v>
      </c>
      <c r="D22" s="134">
        <f>(('Salary DATA'!AI23-'Salary DATA'!AH23)/+'Salary DATA'!AH23)*100</f>
        <v>0.32449954159494182</v>
      </c>
      <c r="E22" s="135">
        <f>(('All Ranks Constant $'!C20-'All Ranks Constant $'!B20)/'All Ranks Constant $'!B20)*100</f>
        <v>-0.87203118688279624</v>
      </c>
      <c r="F22" s="136">
        <f>('Salary DATA'!AH23/'Salary DATA'!$AH$6)*100</f>
        <v>91.000870105578628</v>
      </c>
      <c r="G22" s="137">
        <f>('Salary DATA'!AI23/'Salary DATA'!$AI$6)*100</f>
        <v>90.194272420860926</v>
      </c>
      <c r="H22" s="138">
        <f>RANK('Salary DATA'!AH23,'Salary DATA'!$AH$12:$AH$64)</f>
        <v>35</v>
      </c>
      <c r="I22" s="139">
        <f>RANK('Salary DATA'!AI23,'Salary DATA'!$AI$12:$AI$64)</f>
        <v>36</v>
      </c>
      <c r="J22" s="140"/>
    </row>
    <row r="23" spans="1:10">
      <c r="A23" s="141" t="s">
        <v>57</v>
      </c>
      <c r="B23" s="141"/>
      <c r="C23" s="125">
        <f>+'Salary DATA'!AI24</f>
        <v>67160.426279245279</v>
      </c>
      <c r="D23" s="126">
        <f>(('Salary DATA'!AI24-'Salary DATA'!AH24)/+'Salary DATA'!AH24)*100</f>
        <v>-8.4319566660471676E-2</v>
      </c>
      <c r="E23" s="127">
        <f>(('All Ranks Constant $'!C21-'All Ranks Constant $'!B21)/'All Ranks Constant $'!B21)*100</f>
        <v>-1.2759744709113054</v>
      </c>
      <c r="F23" s="128">
        <f>('Salary DATA'!AH24/'Salary DATA'!$AH$6)*100</f>
        <v>87.29955756212135</v>
      </c>
      <c r="G23" s="129">
        <f>('Salary DATA'!AI24/'Salary DATA'!$AI$6)*100</f>
        <v>86.173177211008735</v>
      </c>
      <c r="H23" s="142">
        <f>RANK('Salary DATA'!AH24,'Salary DATA'!$AH$12:$AH$64)</f>
        <v>40</v>
      </c>
      <c r="I23" s="143">
        <f>RANK('Salary DATA'!AI24,'Salary DATA'!$AI$12:$AI$64)</f>
        <v>40</v>
      </c>
      <c r="J23" s="140"/>
    </row>
    <row r="24" spans="1:10">
      <c r="A24" s="141" t="s">
        <v>58</v>
      </c>
      <c r="B24" s="141"/>
      <c r="C24" s="125">
        <f>+'Salary DATA'!AI25</f>
        <v>75977.00008845485</v>
      </c>
      <c r="D24" s="126">
        <f>(('Salary DATA'!AI25-'Salary DATA'!AH25)/+'Salary DATA'!AH25)*100</f>
        <v>-0.3727108973197053</v>
      </c>
      <c r="E24" s="127">
        <f>(('All Ranks Constant $'!C22-'All Ranks Constant $'!B22)/'All Ranks Constant $'!B22)*100</f>
        <v>-1.5609262719388193</v>
      </c>
      <c r="F24" s="128">
        <f>('Salary DATA'!AH25/'Salary DATA'!$AH$6)*100</f>
        <v>99.045803035998176</v>
      </c>
      <c r="G24" s="129">
        <f>('Salary DATA'!AI25/'Salary DATA'!$AI$6)*100</f>
        <v>97.485675051567284</v>
      </c>
      <c r="H24" s="142">
        <f>RANK('Salary DATA'!AH25,'Salary DATA'!$AH$12:$AH$64)</f>
        <v>23</v>
      </c>
      <c r="I24" s="143">
        <f>RANK('Salary DATA'!AI25,'Salary DATA'!$AI$12:$AI$64)</f>
        <v>26</v>
      </c>
      <c r="J24" s="140"/>
    </row>
    <row r="25" spans="1:10">
      <c r="A25" s="141" t="s">
        <v>59</v>
      </c>
      <c r="B25" s="141"/>
      <c r="C25" s="125">
        <f>+'Salary DATA'!AI26</f>
        <v>80471.193759384754</v>
      </c>
      <c r="D25" s="126">
        <f>(('Salary DATA'!AI26-'Salary DATA'!AH26)/+'Salary DATA'!AH26)*100</f>
        <v>-0.221810861556928</v>
      </c>
      <c r="E25" s="127">
        <f>(('All Ranks Constant $'!C23-'All Ranks Constant $'!B23)/'All Ranks Constant $'!B23)*100</f>
        <v>-1.4118259613732189</v>
      </c>
      <c r="F25" s="128">
        <f>('Salary DATA'!AH26/'Salary DATA'!$AH$6)*100</f>
        <v>104.7459102624192</v>
      </c>
      <c r="G25" s="129">
        <f>('Salary DATA'!AI26/'Salary DATA'!$AI$6)*100</f>
        <v>103.25215047588006</v>
      </c>
      <c r="H25" s="142">
        <f>RANK('Salary DATA'!AH26,'Salary DATA'!$AH$12:$AH$64)</f>
        <v>13</v>
      </c>
      <c r="I25" s="143">
        <f>RANK('Salary DATA'!AI26,'Salary DATA'!$AI$12:$AI$64)</f>
        <v>15</v>
      </c>
      <c r="J25" s="140"/>
    </row>
    <row r="26" spans="1:10">
      <c r="A26" s="145" t="s">
        <v>60</v>
      </c>
      <c r="B26" s="145"/>
      <c r="C26" s="87">
        <f>+'Salary DATA'!AI27</f>
        <v>65285.464099351499</v>
      </c>
      <c r="D26" s="121">
        <f>(('Salary DATA'!AI27-'Salary DATA'!AH27)/+'Salary DATA'!AH27)*100</f>
        <v>0.5561455327842435</v>
      </c>
      <c r="E26" s="122">
        <f>(('All Ranks Constant $'!C24-'All Ranks Constant $'!B24)/'All Ranks Constant $'!B24)*100</f>
        <v>-0.64314794604711611</v>
      </c>
      <c r="F26" s="123">
        <f>('Salary DATA'!AH27/'Salary DATA'!$AH$6)*100</f>
        <v>84.321850117314597</v>
      </c>
      <c r="G26" s="124">
        <f>('Salary DATA'!AI27/'Salary DATA'!$AI$6)*100</f>
        <v>83.76742344881356</v>
      </c>
      <c r="H26" s="146">
        <f>RANK('Salary DATA'!AH27,'Salary DATA'!$AH$12:$AH$64)</f>
        <v>44</v>
      </c>
      <c r="I26" s="147">
        <f>RANK('Salary DATA'!AI27,'Salary DATA'!$AI$12:$AI$64)</f>
        <v>45</v>
      </c>
      <c r="J26" s="140"/>
    </row>
    <row r="27" spans="1:10">
      <c r="A27" s="61" t="s">
        <v>108</v>
      </c>
      <c r="B27" s="61"/>
      <c r="C27" s="148">
        <f>+'Salary DATA'!AI7</f>
        <v>82169.96105313547</v>
      </c>
      <c r="D27" s="126">
        <f>(('Salary DATA'!AI7-'Salary DATA'!AH7)/+'Salary DATA'!AH7)*100</f>
        <v>0.34108459264423441</v>
      </c>
      <c r="E27" s="127">
        <f>(('All Ranks Constant $'!C4-'All Ranks Constant $'!B4)/'All Ranks Constant $'!B4)*100</f>
        <v>-0.85564393919463944</v>
      </c>
      <c r="F27" s="149">
        <f>('Salary DATA'!AH7/'Salary DATA'!$AH$6)*100</f>
        <v>106.35711273271613</v>
      </c>
      <c r="G27" s="150">
        <f>('Salary DATA'!AI7/'Salary DATA'!$AI$6)*100</f>
        <v>105.43182953920196</v>
      </c>
      <c r="H27" s="142"/>
      <c r="I27" s="143"/>
    </row>
    <row r="28" spans="1:10">
      <c r="A28" s="61"/>
      <c r="B28" s="61"/>
      <c r="C28" s="130"/>
      <c r="D28" s="126"/>
      <c r="E28" s="127"/>
      <c r="F28" s="149"/>
      <c r="G28" s="150"/>
      <c r="H28" s="142"/>
      <c r="I28" s="143"/>
    </row>
    <row r="29" spans="1:10">
      <c r="A29" s="151" t="s">
        <v>109</v>
      </c>
      <c r="B29" s="152"/>
      <c r="C29" s="133">
        <f>+'Salary DATA'!AI29</f>
        <v>73331.529636711275</v>
      </c>
      <c r="D29" s="134">
        <f>(('Salary DATA'!AI29-'Salary DATA'!AH29)/+'Salary DATA'!AH29)*100</f>
        <v>2.4796147498641332</v>
      </c>
      <c r="E29" s="135">
        <f>(('All Ranks Constant $'!C26-'All Ranks Constant $'!B26)/'All Ranks Constant $'!B26)*100</f>
        <v>1.2573808124804264</v>
      </c>
      <c r="F29" s="136">
        <f>('Salary DATA'!AH29/'Salary DATA'!$AH$6)*100</f>
        <v>92.936327975158321</v>
      </c>
      <c r="G29" s="137">
        <f>('Salary DATA'!AI29/'Salary DATA'!$AI$6)*100</f>
        <v>94.091286321860309</v>
      </c>
      <c r="H29" s="138">
        <f>RANK('Salary DATA'!AH29,'Salary DATA'!$AH$12:$AH$64)</f>
        <v>32</v>
      </c>
      <c r="I29" s="139">
        <f>RANK('Salary DATA'!AI29,'Salary DATA'!$AI$12:$AI$64)</f>
        <v>28</v>
      </c>
    </row>
    <row r="30" spans="1:10">
      <c r="A30" s="132" t="s">
        <v>110</v>
      </c>
      <c r="B30" s="132"/>
      <c r="C30" s="153">
        <f>+'Salary DATA'!AI30</f>
        <v>83614.186661073822</v>
      </c>
      <c r="D30" s="134">
        <f>(('Salary DATA'!AI30-'Salary DATA'!AH30)/+'Salary DATA'!AH30)*100</f>
        <v>0.82617003715362669</v>
      </c>
      <c r="E30" s="135">
        <f>(('All Ranks Constant $'!C27-'All Ranks Constant $'!B27)/'All Ranks Constant $'!B27)*100</f>
        <v>-0.37634391741793255</v>
      </c>
      <c r="F30" s="154">
        <f>('Salary DATA'!AH30/'Salary DATA'!$AH$6)*100</f>
        <v>107.70576459732895</v>
      </c>
      <c r="G30" s="155">
        <f>('Salary DATA'!AI30/'Salary DATA'!$AI$6)*100</f>
        <v>107.28490755166253</v>
      </c>
      <c r="H30" s="138">
        <f>RANK('Salary DATA'!AH30,'Salary DATA'!$AH$12:$AH$64)</f>
        <v>9</v>
      </c>
      <c r="I30" s="139">
        <f>RANK('Salary DATA'!AI30,'Salary DATA'!$AI$12:$AI$64)</f>
        <v>10</v>
      </c>
    </row>
    <row r="31" spans="1:10">
      <c r="A31" s="132" t="s">
        <v>111</v>
      </c>
      <c r="B31" s="132"/>
      <c r="C31" s="153">
        <f>+'Salary DATA'!AI31</f>
        <v>92820.535229569738</v>
      </c>
      <c r="D31" s="134">
        <f>(('Salary DATA'!AI31-'Salary DATA'!AH31)/+'Salary DATA'!AH31)*100</f>
        <v>0.10705748587505988</v>
      </c>
      <c r="E31" s="135">
        <f>(('All Ranks Constant $'!C28-'All Ranks Constant $'!B28)/'All Ranks Constant $'!B28)*100</f>
        <v>-1.0868798969839975</v>
      </c>
      <c r="F31" s="154">
        <f>('Salary DATA'!AH31/'Salary DATA'!$AH$6)*100</f>
        <v>120.42360421568712</v>
      </c>
      <c r="G31" s="155">
        <f>('Salary DATA'!AI31/'Salary DATA'!$AI$6)*100</f>
        <v>119.09752326319327</v>
      </c>
      <c r="H31" s="138">
        <f>RANK('Salary DATA'!AH31,'Salary DATA'!$AH$12:$AH$64)</f>
        <v>3</v>
      </c>
      <c r="I31" s="139">
        <f>RANK('Salary DATA'!AI31,'Salary DATA'!$AI$12:$AI$64)</f>
        <v>3</v>
      </c>
    </row>
    <row r="32" spans="1:10">
      <c r="A32" s="132" t="s">
        <v>112</v>
      </c>
      <c r="B32" s="132"/>
      <c r="C32" s="153">
        <f>+'Salary DATA'!AI32</f>
        <v>73149.588449626521</v>
      </c>
      <c r="D32" s="134">
        <f>(('Salary DATA'!AI32-'Salary DATA'!AH32)/+'Salary DATA'!AH32)*100</f>
        <v>0.18586947660322867</v>
      </c>
      <c r="E32" s="135">
        <f>(('All Ranks Constant $'!C29-'All Ranks Constant $'!B29)/'All Ranks Constant $'!B29)*100</f>
        <v>-1.0090078657782811</v>
      </c>
      <c r="F32" s="154">
        <f>('Salary DATA'!AH32/'Salary DATA'!$AH$6)*100</f>
        <v>94.828234372850503</v>
      </c>
      <c r="G32" s="155">
        <f>('Salary DATA'!AI32/'Salary DATA'!$AI$6)*100</f>
        <v>93.857838575542459</v>
      </c>
      <c r="H32" s="138">
        <f>RANK('Salary DATA'!AH32,'Salary DATA'!$AH$12:$AH$64)</f>
        <v>28</v>
      </c>
      <c r="I32" s="139">
        <f>RANK('Salary DATA'!AI32,'Salary DATA'!$AI$12:$AI$64)</f>
        <v>29</v>
      </c>
    </row>
    <row r="33" spans="1:10">
      <c r="A33" s="141" t="s">
        <v>113</v>
      </c>
      <c r="B33" s="141"/>
      <c r="C33" s="148">
        <f>+'Salary DATA'!AI33</f>
        <v>83192.468588322241</v>
      </c>
      <c r="D33" s="126">
        <f>(('Salary DATA'!AI33-'Salary DATA'!AH33)/+'Salary DATA'!AH33)*100</f>
        <v>-6.8656555245606485</v>
      </c>
      <c r="E33" s="127">
        <f>(('All Ranks Constant $'!C30-'All Ranks Constant $'!B30)/'All Ranks Constant $'!B30)*100</f>
        <v>-7.9764321100475417</v>
      </c>
      <c r="F33" s="149">
        <f>('Salary DATA'!AH33/'Salary DATA'!$AH$6)*100</f>
        <v>116.0129307606223</v>
      </c>
      <c r="G33" s="150">
        <f>('Salary DATA'!AI33/'Salary DATA'!$AI$6)*100</f>
        <v>106.74380338914268</v>
      </c>
      <c r="H33" s="142">
        <f>RANK('Salary DATA'!AH33,'Salary DATA'!$AH$12:$AH$64)</f>
        <v>5</v>
      </c>
      <c r="I33" s="143">
        <f>RANK('Salary DATA'!AI33,'Salary DATA'!$AI$12:$AI$64)</f>
        <v>11</v>
      </c>
    </row>
    <row r="34" spans="1:10">
      <c r="A34" s="141" t="s">
        <v>114</v>
      </c>
      <c r="B34" s="141"/>
      <c r="C34" s="148">
        <f>+'Salary DATA'!AI34</f>
        <v>61481.463572584995</v>
      </c>
      <c r="D34" s="126">
        <f>(('Salary DATA'!AI34-'Salary DATA'!AH34)/+'Salary DATA'!AH34)*100</f>
        <v>-0.18792449863709165</v>
      </c>
      <c r="E34" s="127">
        <f>(('All Ranks Constant $'!C31-'All Ranks Constant $'!B31)/'All Ranks Constant $'!B31)*100</f>
        <v>-1.3783437477359173</v>
      </c>
      <c r="F34" s="149">
        <f>('Salary DATA'!AH34/'Salary DATA'!$AH$6)*100</f>
        <v>80.000621315766807</v>
      </c>
      <c r="G34" s="150">
        <f>('Salary DATA'!AI34/'Salary DATA'!$AI$6)*100</f>
        <v>78.886531089065059</v>
      </c>
      <c r="H34" s="142">
        <f>RANK('Salary DATA'!AH34,'Salary DATA'!$AH$12:$AH$64)</f>
        <v>47</v>
      </c>
      <c r="I34" s="143">
        <f>RANK('Salary DATA'!AI34,'Salary DATA'!$AI$12:$AI$64)</f>
        <v>47</v>
      </c>
    </row>
    <row r="35" spans="1:10">
      <c r="A35" s="141" t="s">
        <v>115</v>
      </c>
      <c r="B35" s="141"/>
      <c r="C35" s="148">
        <f>+'Salary DATA'!AI35</f>
        <v>61264.366373902136</v>
      </c>
      <c r="D35" s="126">
        <f>(('Salary DATA'!AI35-'Salary DATA'!AH35)/+'Salary DATA'!AH35)*100</f>
        <v>-1.056575892580513E-2</v>
      </c>
      <c r="E35" s="127">
        <f>(('All Ranks Constant $'!C32-'All Ranks Constant $'!B32)/'All Ranks Constant $'!B32)*100</f>
        <v>-1.2031002957459502</v>
      </c>
      <c r="F35" s="149">
        <f>('Salary DATA'!AH35/'Salary DATA'!$AH$6)*100</f>
        <v>79.576729105506516</v>
      </c>
      <c r="G35" s="150">
        <f>('Salary DATA'!AI35/'Salary DATA'!$AI$6)*100</f>
        <v>78.607974855721238</v>
      </c>
      <c r="H35" s="142">
        <f>RANK('Salary DATA'!AH35,'Salary DATA'!$AH$12:$AH$64)</f>
        <v>48</v>
      </c>
      <c r="I35" s="143">
        <f>RANK('Salary DATA'!AI35,'Salary DATA'!$AI$12:$AI$64)</f>
        <v>48</v>
      </c>
    </row>
    <row r="36" spans="1:10">
      <c r="A36" s="141" t="s">
        <v>116</v>
      </c>
      <c r="B36" s="141"/>
      <c r="C36" s="125">
        <f>+'Salary DATA'!AI36</f>
        <v>89272.390759075904</v>
      </c>
      <c r="D36" s="126">
        <f>(('Salary DATA'!AI36-'Salary DATA'!AH36)/+'Salary DATA'!AH36)*100</f>
        <v>-6.4738653570216798E-2</v>
      </c>
      <c r="E36" s="127">
        <f>(('All Ranks Constant $'!C33-'All Ranks Constant $'!B33)/'All Ranks Constant $'!B33)*100</f>
        <v>-1.2566270916469013</v>
      </c>
      <c r="F36" s="149">
        <f>('Salary DATA'!AH36/'Salary DATA'!$AH$6)*100</f>
        <v>116.01941250428803</v>
      </c>
      <c r="G36" s="150">
        <f>('Salary DATA'!AI36/'Salary DATA'!$AI$6)*100</f>
        <v>114.54491841588586</v>
      </c>
      <c r="H36" s="142">
        <f>RANK('Salary DATA'!AH36,'Salary DATA'!$AH$12:$AH$64)</f>
        <v>4</v>
      </c>
      <c r="I36" s="143">
        <f>RANK('Salary DATA'!AI36,'Salary DATA'!$AI$12:$AI$64)</f>
        <v>5</v>
      </c>
      <c r="J36" s="300"/>
    </row>
    <row r="37" spans="1:10">
      <c r="A37" s="144" t="s">
        <v>117</v>
      </c>
      <c r="B37" s="144"/>
      <c r="C37" s="133">
        <f>+'Salary DATA'!AI37</f>
        <v>70629.767790262165</v>
      </c>
      <c r="D37" s="134">
        <f>(('Salary DATA'!AI37-'Salary DATA'!AH37)/+'Salary DATA'!AH37)*100</f>
        <v>0.1080026902103678</v>
      </c>
      <c r="E37" s="135">
        <f>(('All Ranks Constant $'!C34-'All Ranks Constant $'!B34)/'All Ranks Constant $'!B34)*100</f>
        <v>-1.0859459657279142</v>
      </c>
      <c r="F37" s="154">
        <f>('Salary DATA'!AH37/'Salary DATA'!$AH$6)*100</f>
        <v>91.632857682268309</v>
      </c>
      <c r="G37" s="155">
        <f>('Salary DATA'!AI37/'Salary DATA'!$AI$6)*100</f>
        <v>90.624670410163077</v>
      </c>
      <c r="H37" s="138">
        <f>RANK('Salary DATA'!AH37,'Salary DATA'!$AH$12:$AH$64)</f>
        <v>34</v>
      </c>
      <c r="I37" s="139">
        <f>RANK('Salary DATA'!AI37,'Salary DATA'!$AI$12:$AI$64)</f>
        <v>35</v>
      </c>
    </row>
    <row r="38" spans="1:10">
      <c r="A38" s="144" t="s">
        <v>118</v>
      </c>
      <c r="B38" s="144"/>
      <c r="C38" s="153">
        <f>+'Salary DATA'!AI38</f>
        <v>69533.689003436433</v>
      </c>
      <c r="D38" s="134">
        <f>(('Salary DATA'!AI38-'Salary DATA'!AH38)/+'Salary DATA'!AH38)*100</f>
        <v>-6.0869696978572363E-2</v>
      </c>
      <c r="E38" s="135">
        <f>(('All Ranks Constant $'!C35-'All Ranks Constant $'!B35)/'All Ranks Constant $'!B35)*100</f>
        <v>-1.2528042785742377</v>
      </c>
      <c r="F38" s="154">
        <f>('Salary DATA'!AH38/'Salary DATA'!$AH$6)*100</f>
        <v>90.363273236441614</v>
      </c>
      <c r="G38" s="155">
        <f>('Salary DATA'!AI38/'Salary DATA'!$AI$6)*100</f>
        <v>89.218297687904908</v>
      </c>
      <c r="H38" s="138">
        <f>RANK('Salary DATA'!AH38,'Salary DATA'!$AH$12:$AH$64)</f>
        <v>36</v>
      </c>
      <c r="I38" s="139">
        <f>RANK('Salary DATA'!AI38,'Salary DATA'!$AI$12:$AI$64)</f>
        <v>38</v>
      </c>
    </row>
    <row r="39" spans="1:10">
      <c r="A39" s="144" t="s">
        <v>119</v>
      </c>
      <c r="B39" s="144"/>
      <c r="C39" s="153">
        <f>+'Salary DATA'!AI39</f>
        <v>71573.113366645848</v>
      </c>
      <c r="D39" s="134">
        <f>(('Salary DATA'!AI39-'Salary DATA'!AH39)/+'Salary DATA'!AH39)*100</f>
        <v>3.187499591134848</v>
      </c>
      <c r="E39" s="135">
        <f>(('All Ranks Constant $'!C36-'All Ranks Constant $'!B36)/'All Ranks Constant $'!B36)*100</f>
        <v>1.9568229905066452</v>
      </c>
      <c r="F39" s="154">
        <f>('Salary DATA'!AH39/'Salary DATA'!$AH$6)*100</f>
        <v>90.08553646310105</v>
      </c>
      <c r="G39" s="155">
        <f>('Salary DATA'!AI39/'Salary DATA'!$AI$6)*100</f>
        <v>91.835071981870399</v>
      </c>
      <c r="H39" s="138">
        <f>RANK('Salary DATA'!AH39,'Salary DATA'!$AH$12:$AH$64)</f>
        <v>38</v>
      </c>
      <c r="I39" s="139">
        <f>RANK('Salary DATA'!AI39,'Salary DATA'!$AI$12:$AI$64)</f>
        <v>33</v>
      </c>
    </row>
    <row r="40" spans="1:10">
      <c r="A40" s="144" t="s">
        <v>120</v>
      </c>
      <c r="B40" s="144"/>
      <c r="C40" s="153">
        <f>+'Salary DATA'!AI40</f>
        <v>79645.351993389791</v>
      </c>
      <c r="D40" s="134">
        <f>(('Salary DATA'!AI40-'Salary DATA'!AH40)/+'Salary DATA'!AH40)*100</f>
        <v>4.9023940458827235E-2</v>
      </c>
      <c r="E40" s="135">
        <f>(('All Ranks Constant $'!C37-'All Ranks Constant $'!B37)/'All Ranks Constant $'!B37)*100</f>
        <v>-1.144221299198025</v>
      </c>
      <c r="F40" s="154">
        <f>('Salary DATA'!AH40/'Salary DATA'!$AH$6)*100</f>
        <v>103.39030794158215</v>
      </c>
      <c r="G40" s="155">
        <f>('Salary DATA'!AI40/'Salary DATA'!$AI$6)*100</f>
        <v>102.19251740337036</v>
      </c>
      <c r="H40" s="138">
        <f>RANK('Salary DATA'!AH40,'Salary DATA'!$AH$12:$AH$64)</f>
        <v>15</v>
      </c>
      <c r="I40" s="139">
        <f>RANK('Salary DATA'!AI40,'Salary DATA'!$AI$12:$AI$64)</f>
        <v>16</v>
      </c>
    </row>
    <row r="41" spans="1:10">
      <c r="A41" s="156" t="s">
        <v>121</v>
      </c>
      <c r="B41" s="156"/>
      <c r="C41" s="157">
        <f>+'Salary DATA'!AI41</f>
        <v>79013.122972972968</v>
      </c>
      <c r="D41" s="158">
        <f>(('Salary DATA'!AI41-'Salary DATA'!AH41)/+'Salary DATA'!AH41)*100</f>
        <v>9.093065317367803E-2</v>
      </c>
      <c r="E41" s="159">
        <f>(('All Ranks Constant $'!C38-'All Ranks Constant $'!B38)/'All Ranks Constant $'!B38)*100</f>
        <v>-1.1028143913137138</v>
      </c>
      <c r="F41" s="160">
        <f>('Salary DATA'!AH41/'Salary DATA'!$AH$6)*100</f>
        <v>102.52664571003905</v>
      </c>
      <c r="G41" s="161">
        <f>('Salary DATA'!AI41/'Salary DATA'!$AI$6)*100</f>
        <v>101.38130779031944</v>
      </c>
      <c r="H41" s="162">
        <f>RANK('Salary DATA'!AH41,'Salary DATA'!$AH$12:$AH$64)</f>
        <v>18</v>
      </c>
      <c r="I41" s="163">
        <f>RANK('Salary DATA'!AI41,'Salary DATA'!$AI$12:$AI$64)</f>
        <v>19</v>
      </c>
    </row>
    <row r="42" spans="1:10">
      <c r="A42" s="61" t="s">
        <v>122</v>
      </c>
      <c r="B42" s="61"/>
      <c r="C42" s="164">
        <f>+'Salary DATA'!AI8</f>
        <v>76278.133150268754</v>
      </c>
      <c r="D42" s="126">
        <f>(('Salary DATA'!AI8-'Salary DATA'!AH8)/+'Salary DATA'!AH8)*100</f>
        <v>1.3467740802680701</v>
      </c>
      <c r="E42" s="127">
        <f>(('All Ranks Constant $'!C5-'All Ranks Constant $'!B5)/'All Ranks Constant $'!B5)*100</f>
        <v>0.13805108665018903</v>
      </c>
      <c r="F42" s="149">
        <f>('Salary DATA'!AH8/'Salary DATA'!$AH$6)*100</f>
        <v>97.751262456058924</v>
      </c>
      <c r="G42" s="150">
        <f>('Salary DATA'!AI8/'Salary DATA'!$AI$6)*100</f>
        <v>97.872057243244996</v>
      </c>
      <c r="H42" s="142"/>
      <c r="I42" s="143"/>
    </row>
    <row r="43" spans="1:10">
      <c r="A43" s="61"/>
      <c r="B43" s="61"/>
      <c r="C43" s="164"/>
      <c r="D43" s="126"/>
      <c r="E43" s="127"/>
      <c r="F43" s="149"/>
      <c r="G43" s="150"/>
      <c r="H43" s="142"/>
      <c r="I43" s="143"/>
    </row>
    <row r="44" spans="1:10">
      <c r="A44" s="132" t="s">
        <v>123</v>
      </c>
      <c r="B44" s="132"/>
      <c r="C44" s="153">
        <f>+'Salary DATA'!AI43</f>
        <v>76072.56918798665</v>
      </c>
      <c r="D44" s="134">
        <f>(('Salary DATA'!AI43-'Salary DATA'!AH43)/+'Salary DATA'!AH43)*100</f>
        <v>1.1826768085325519</v>
      </c>
      <c r="E44" s="135">
        <f>(('All Ranks Constant $'!C40-'All Ranks Constant $'!B40)/'All Ranks Constant $'!B40)*100</f>
        <v>-2.4089061660957426E-2</v>
      </c>
      <c r="F44" s="154">
        <f>('Salary DATA'!AH43/'Salary DATA'!$AH$6)*100</f>
        <v>97.64593498674445</v>
      </c>
      <c r="G44" s="155">
        <f>('Salary DATA'!AI43/'Salary DATA'!$AI$6)*100</f>
        <v>97.608299242718317</v>
      </c>
      <c r="H44" s="165">
        <f>RANK('Salary DATA'!AH43,'Salary DATA'!$AH$12:$AH$64)</f>
        <v>24</v>
      </c>
      <c r="I44" s="166">
        <f>RANK('Salary DATA'!AI43,'Salary DATA'!$AI$12:$AI$64)</f>
        <v>25</v>
      </c>
      <c r="J44" s="300"/>
    </row>
    <row r="45" spans="1:10">
      <c r="A45" s="132" t="s">
        <v>124</v>
      </c>
      <c r="B45" s="132"/>
      <c r="C45" s="153">
        <f>+'Salary DATA'!AI44</f>
        <v>75589.61386138614</v>
      </c>
      <c r="D45" s="134">
        <f>(('Salary DATA'!AI44-'Salary DATA'!AH44)/+'Salary DATA'!AH44)*100</f>
        <v>3.111032052352241</v>
      </c>
      <c r="E45" s="135">
        <f>(('All Ranks Constant $'!C41-'All Ranks Constant $'!B41)/'All Ranks Constant $'!B41)*100</f>
        <v>1.8812674498929909</v>
      </c>
      <c r="F45" s="154">
        <f>('Salary DATA'!AH44/'Salary DATA'!$AH$6)*100</f>
        <v>95.211463768598207</v>
      </c>
      <c r="G45" s="155">
        <f>('Salary DATA'!AI44/'Salary DATA'!$AI$6)*100</f>
        <v>96.988621893275877</v>
      </c>
      <c r="H45" s="138">
        <f>RANK('Salary DATA'!AH44,'Salary DATA'!$AH$12:$AH$64)</f>
        <v>27</v>
      </c>
      <c r="I45" s="139">
        <f>RANK('Salary DATA'!AI44,'Salary DATA'!$AI$12:$AI$64)</f>
        <v>27</v>
      </c>
      <c r="J45" s="300"/>
    </row>
    <row r="46" spans="1:10">
      <c r="A46" s="132" t="s">
        <v>125</v>
      </c>
      <c r="B46" s="132"/>
      <c r="C46" s="153">
        <f>+'Salary DATA'!AI45</f>
        <v>85953.605691056917</v>
      </c>
      <c r="D46" s="134">
        <f>(('Salary DATA'!AI45-'Salary DATA'!AH45)/+'Salary DATA'!AH45)*100</f>
        <v>2.117040865681985</v>
      </c>
      <c r="E46" s="135">
        <f>(('All Ranks Constant $'!C42-'All Ranks Constant $'!B42)/'All Ranks Constant $'!B42)*100</f>
        <v>0.89913120398119539</v>
      </c>
      <c r="F46" s="154">
        <f>('Salary DATA'!AH45/'Salary DATA'!$AH$6)*100</f>
        <v>109.31962350644785</v>
      </c>
      <c r="G46" s="155">
        <f>('Salary DATA'!AI45/'Salary DATA'!$AI$6)*100</f>
        <v>110.28660336882919</v>
      </c>
      <c r="H46" s="138">
        <f>RANK('Salary DATA'!AH45,'Salary DATA'!$AH$12:$AH$64)</f>
        <v>7</v>
      </c>
      <c r="I46" s="139">
        <f>RANK('Salary DATA'!AI45,'Salary DATA'!$AI$12:$AI$64)</f>
        <v>8</v>
      </c>
      <c r="J46" s="300"/>
    </row>
    <row r="47" spans="1:10">
      <c r="A47" s="132" t="s">
        <v>126</v>
      </c>
      <c r="B47" s="132"/>
      <c r="C47" s="153">
        <f>+'Salary DATA'!AI46</f>
        <v>72259.84773100054</v>
      </c>
      <c r="D47" s="134">
        <f>(('Salary DATA'!AI46-'Salary DATA'!AH46)/+'Salary DATA'!AH46)*100</f>
        <v>-0.56688643774052516</v>
      </c>
      <c r="E47" s="135">
        <f>(('All Ranks Constant $'!C43-'All Ranks Constant $'!B43)/'All Ranks Constant $'!B43)*100</f>
        <v>-1.7527859572904025</v>
      </c>
      <c r="F47" s="154">
        <f>('Salary DATA'!AH46/'Salary DATA'!$AH$6)*100</f>
        <v>94.383972500607456</v>
      </c>
      <c r="G47" s="155">
        <f>('Salary DATA'!AI46/'Salary DATA'!$AI$6)*100</f>
        <v>92.71621710489822</v>
      </c>
      <c r="H47" s="138">
        <f>RANK('Salary DATA'!AH46,'Salary DATA'!$AH$12:$AH$64)</f>
        <v>30</v>
      </c>
      <c r="I47" s="139">
        <f>RANK('Salary DATA'!AI46,'Salary DATA'!$AI$12:$AI$64)</f>
        <v>32</v>
      </c>
      <c r="J47" s="300"/>
    </row>
    <row r="48" spans="1:10">
      <c r="A48" s="141" t="s">
        <v>127</v>
      </c>
      <c r="B48" s="141"/>
      <c r="C48" s="148">
        <f>+'Salary DATA'!AI47</f>
        <v>82276.002357008168</v>
      </c>
      <c r="D48" s="126">
        <f>(('Salary DATA'!AI47-'Salary DATA'!AH47)/+'Salary DATA'!AH47)*100</f>
        <v>1.8667784847177336</v>
      </c>
      <c r="E48" s="127">
        <f>(('All Ranks Constant $'!C44-'All Ranks Constant $'!B44)/'All Ranks Constant $'!B44)*100</f>
        <v>0.65185360370735002</v>
      </c>
      <c r="F48" s="149">
        <f>('Salary DATA'!AH47/'Salary DATA'!$AH$6)*100</f>
        <v>104.89936494641545</v>
      </c>
      <c r="G48" s="150">
        <f>('Salary DATA'!AI47/'Salary DATA'!$AI$6)*100</f>
        <v>105.56789055871238</v>
      </c>
      <c r="H48" s="142">
        <f>RANK('Salary DATA'!AH47,'Salary DATA'!$AH$12:$AH$64)</f>
        <v>12</v>
      </c>
      <c r="I48" s="143">
        <f>RANK('Salary DATA'!AI47,'Salary DATA'!$AI$12:$AI$64)</f>
        <v>12</v>
      </c>
      <c r="J48" s="300"/>
    </row>
    <row r="49" spans="1:10">
      <c r="A49" s="141" t="s">
        <v>128</v>
      </c>
      <c r="B49" s="141"/>
      <c r="C49" s="148">
        <f>+'Salary DATA'!AI48</f>
        <v>78737.843290236284</v>
      </c>
      <c r="D49" s="126">
        <f>(('Salary DATA'!AI48-'Salary DATA'!AH48)/+'Salary DATA'!AH48)*100</f>
        <v>-0.26461028561387462</v>
      </c>
      <c r="E49" s="127">
        <f>(('All Ranks Constant $'!C45-'All Ranks Constant $'!B45)/'All Ranks Constant $'!B45)*100</f>
        <v>-1.4541149335836074</v>
      </c>
      <c r="F49" s="149">
        <f>('Salary DATA'!AH48/'Salary DATA'!$AH$6)*100</f>
        <v>102.53366348443834</v>
      </c>
      <c r="G49" s="150">
        <f>('Salary DATA'!AI48/'Salary DATA'!$AI$6)*100</f>
        <v>101.02809792854124</v>
      </c>
      <c r="H49" s="142">
        <f>RANK('Salary DATA'!AH48,'Salary DATA'!$AH$12:$AH$64)</f>
        <v>17</v>
      </c>
      <c r="I49" s="143">
        <f>RANK('Salary DATA'!AI48,'Salary DATA'!$AI$12:$AI$64)</f>
        <v>20</v>
      </c>
      <c r="J49" s="300"/>
    </row>
    <row r="50" spans="1:10">
      <c r="A50" s="141" t="s">
        <v>129</v>
      </c>
      <c r="B50" s="141"/>
      <c r="C50" s="148">
        <f>+'Salary DATA'!AI49</f>
        <v>66448.636509065051</v>
      </c>
      <c r="D50" s="126">
        <f>(('Salary DATA'!AI49-'Salary DATA'!AH49)/+'Salary DATA'!AH49)*100</f>
        <v>-9.9434860187509092E-2</v>
      </c>
      <c r="E50" s="127">
        <f>(('All Ranks Constant $'!C46-'All Ranks Constant $'!B46)/'All Ranks Constant $'!B46)*100</f>
        <v>-1.2909094902953604</v>
      </c>
      <c r="F50" s="149">
        <f>('Salary DATA'!AH49/'Salary DATA'!$AH$6)*100</f>
        <v>86.387394937830948</v>
      </c>
      <c r="G50" s="150">
        <f>('Salary DATA'!AI49/'Salary DATA'!$AI$6)*100</f>
        <v>85.259883633215011</v>
      </c>
      <c r="H50" s="142">
        <f>RANK('Salary DATA'!AH49,'Salary DATA'!$AH$12:$AH$64)</f>
        <v>42</v>
      </c>
      <c r="I50" s="143">
        <f>RANK('Salary DATA'!AI49,'Salary DATA'!$AI$12:$AI$64)</f>
        <v>42</v>
      </c>
      <c r="J50" s="300"/>
    </row>
    <row r="51" spans="1:10">
      <c r="A51" s="141" t="s">
        <v>130</v>
      </c>
      <c r="B51" s="141"/>
      <c r="C51" s="148">
        <f>+'Salary DATA'!AI50</f>
        <v>76513.328506787337</v>
      </c>
      <c r="D51" s="126">
        <f>(('Salary DATA'!AI50-'Salary DATA'!AH50)/+'Salary DATA'!AH50)*100</f>
        <v>1.7774879423123675</v>
      </c>
      <c r="E51" s="127">
        <f>(('All Ranks Constant $'!C47-'All Ranks Constant $'!B47)/'All Ranks Constant $'!B47)*100</f>
        <v>0.56362799437654021</v>
      </c>
      <c r="F51" s="149">
        <f>('Salary DATA'!AH50/'Salary DATA'!$AH$6)*100</f>
        <v>97.637717146118291</v>
      </c>
      <c r="G51" s="150">
        <f>('Salary DATA'!AI50/'Salary DATA'!$AI$6)*100</f>
        <v>98.173835124347349</v>
      </c>
      <c r="H51" s="142">
        <f>RANK('Salary DATA'!AH50,'Salary DATA'!$AH$12:$AH$64)</f>
        <v>25</v>
      </c>
      <c r="I51" s="143">
        <f>RANK('Salary DATA'!AI50,'Salary DATA'!$AI$12:$AI$64)</f>
        <v>23</v>
      </c>
      <c r="J51" s="300"/>
    </row>
    <row r="52" spans="1:10">
      <c r="A52" s="132" t="s">
        <v>131</v>
      </c>
      <c r="B52" s="132"/>
      <c r="C52" s="153">
        <f>+'Salary DATA'!AI51</f>
        <v>66128.738348868181</v>
      </c>
      <c r="D52" s="134">
        <f>(('Salary DATA'!AI51-'Salary DATA'!AH51)/+'Salary DATA'!AH51)*100</f>
        <v>4.1078863120781746</v>
      </c>
      <c r="E52" s="135">
        <f>(('All Ranks Constant $'!C48-'All Ranks Constant $'!B48)/'All Ranks Constant $'!B48)*100</f>
        <v>2.8662326221176158</v>
      </c>
      <c r="F52" s="154">
        <f>('Salary DATA'!AH51/'Salary DATA'!$AH$6)*100</f>
        <v>82.497133176764009</v>
      </c>
      <c r="G52" s="155">
        <f>('Salary DATA'!AI51/'Salary DATA'!$AI$6)*100</f>
        <v>84.849424045994667</v>
      </c>
      <c r="H52" s="138">
        <f>RANK('Salary DATA'!AH51,'Salary DATA'!$AH$12:$AH$64)</f>
        <v>45</v>
      </c>
      <c r="I52" s="139">
        <f>RANK('Salary DATA'!AI51,'Salary DATA'!$AI$12:$AI$64)</f>
        <v>43</v>
      </c>
      <c r="J52" s="300"/>
    </row>
    <row r="53" spans="1:10">
      <c r="A53" s="132" t="s">
        <v>132</v>
      </c>
      <c r="B53" s="132"/>
      <c r="C53" s="153">
        <f>+'Salary DATA'!AI52</f>
        <v>79052.167767503299</v>
      </c>
      <c r="D53" s="134">
        <f>(('Salary DATA'!AI52-'Salary DATA'!AH52)/+'Salary DATA'!AH52)*100</f>
        <v>1.5865805719490891</v>
      </c>
      <c r="E53" s="135">
        <f>(('All Ranks Constant $'!C49-'All Ranks Constant $'!B49)/'All Ranks Constant $'!B49)*100</f>
        <v>0.37499750090750694</v>
      </c>
      <c r="F53" s="154">
        <f>('Salary DATA'!AH52/'Salary DATA'!$AH$6)*100</f>
        <v>101.06707351351618</v>
      </c>
      <c r="G53" s="155">
        <f>('Salary DATA'!AI52/'Salary DATA'!$AI$6)*100</f>
        <v>101.43140595354789</v>
      </c>
      <c r="H53" s="138">
        <f>RANK('Salary DATA'!AH52,'Salary DATA'!$AH$12:$AH$64)</f>
        <v>20</v>
      </c>
      <c r="I53" s="139">
        <f>RANK('Salary DATA'!AI52,'Salary DATA'!$AI$12:$AI$64)</f>
        <v>18</v>
      </c>
      <c r="J53" s="300"/>
    </row>
    <row r="54" spans="1:10">
      <c r="A54" s="132" t="s">
        <v>133</v>
      </c>
      <c r="B54" s="132"/>
      <c r="C54" s="153">
        <f>+'Salary DATA'!AI53</f>
        <v>60666.356756756759</v>
      </c>
      <c r="D54" s="134">
        <f>(('Salary DATA'!AI53-'Salary DATA'!AH53)/+'Salary DATA'!AH53)*100</f>
        <v>-0.55884896060569667</v>
      </c>
      <c r="E54" s="135">
        <f>(('All Ranks Constant $'!C50-'All Ranks Constant $'!B50)/'All Ranks Constant $'!B50)*100</f>
        <v>-1.7448443399746125</v>
      </c>
      <c r="F54" s="154">
        <f>('Salary DATA'!AH53/'Salary DATA'!$AH$6)*100</f>
        <v>79.2344451417827</v>
      </c>
      <c r="G54" s="155">
        <f>('Salary DATA'!AI53/'Salary DATA'!$AI$6)*100</f>
        <v>77.840671972653013</v>
      </c>
      <c r="H54" s="138">
        <f>RANK('Salary DATA'!AH53,'Salary DATA'!$AH$12:$AH$64)</f>
        <v>49</v>
      </c>
      <c r="I54" s="139">
        <f>RANK('Salary DATA'!AI53,'Salary DATA'!$AI$12:$AI$64)</f>
        <v>50</v>
      </c>
      <c r="J54" s="300"/>
    </row>
    <row r="55" spans="1:10">
      <c r="A55" s="156" t="s">
        <v>134</v>
      </c>
      <c r="B55" s="156"/>
      <c r="C55" s="167">
        <f>+'Salary DATA'!AI54</f>
        <v>70096.749716690945</v>
      </c>
      <c r="D55" s="168">
        <f>(('Salary DATA'!AI54-'Salary DATA'!AH54)/+'Salary DATA'!AH54)*100</f>
        <v>0.87642681406855916</v>
      </c>
      <c r="E55" s="169">
        <f>(('All Ranks Constant $'!C51-'All Ranks Constant $'!B51)/'All Ranks Constant $'!B51)*100</f>
        <v>-0.32668653325518837</v>
      </c>
      <c r="F55" s="170">
        <f>('Salary DATA'!AH54/'Salary DATA'!$AH$6)*100</f>
        <v>90.248592882021043</v>
      </c>
      <c r="G55" s="161">
        <f>('Salary DATA'!AI54/'Salary DATA'!$AI$6)*100</f>
        <v>89.940757822718439</v>
      </c>
      <c r="H55" s="171">
        <f>RANK('Salary DATA'!AH54,'Salary DATA'!$AH$12:$AH$64)</f>
        <v>37</v>
      </c>
      <c r="I55" s="172">
        <f>RANK('Salary DATA'!AI54,'Salary DATA'!$AI$12:$AI$64)</f>
        <v>37</v>
      </c>
      <c r="J55" s="300"/>
    </row>
    <row r="56" spans="1:10">
      <c r="A56" s="141" t="s">
        <v>135</v>
      </c>
      <c r="B56" s="141"/>
      <c r="C56" s="164">
        <f>+'Salary DATA'!AI9</f>
        <v>86082.532849247844</v>
      </c>
      <c r="D56" s="173">
        <f>(('Salary DATA'!AI9-'Salary DATA'!AH9)/+'Salary DATA'!AH9)*100</f>
        <v>3.7180699508437312</v>
      </c>
      <c r="E56" s="174">
        <f>(('All Ranks Constant $'!C6-'All Ranks Constant $'!B6)/'All Ranks Constant $'!B6)*100</f>
        <v>2.481065446842853</v>
      </c>
      <c r="F56" s="175">
        <f>('Salary DATA'!AH9/'Salary DATA'!$AH$6)*100</f>
        <v>107.79357096477051</v>
      </c>
      <c r="G56" s="176">
        <f>('Salary DATA'!AI9/'Salary DATA'!$AI$6)*100</f>
        <v>110.45202910338161</v>
      </c>
      <c r="H56" s="177"/>
      <c r="I56" s="178"/>
    </row>
    <row r="57" spans="1:10">
      <c r="A57" s="141"/>
      <c r="B57" s="141"/>
      <c r="C57" s="164"/>
      <c r="D57" s="173"/>
      <c r="E57" s="174"/>
      <c r="F57" s="175"/>
      <c r="G57" s="176"/>
      <c r="H57" s="177"/>
      <c r="I57" s="178"/>
      <c r="J57" s="300"/>
    </row>
    <row r="58" spans="1:10">
      <c r="A58" s="132" t="s">
        <v>136</v>
      </c>
      <c r="B58" s="132"/>
      <c r="C58" s="179">
        <f>+'Salary DATA'!AI56</f>
        <v>90716.857417371255</v>
      </c>
      <c r="D58" s="180">
        <f>(('Salary DATA'!AI56-'Salary DATA'!AH56)/+'Salary DATA'!AH56)*100</f>
        <v>2.7172775033670833</v>
      </c>
      <c r="E58" s="181">
        <f>(('All Ranks Constant $'!C53-'All Ranks Constant $'!B53)/'All Ranks Constant $'!B53)*100</f>
        <v>1.4922090560792163</v>
      </c>
      <c r="F58" s="182">
        <f>('Salary DATA'!AH56/'Salary DATA'!$AH$6)*100</f>
        <v>114.70352011535128</v>
      </c>
      <c r="G58" s="183">
        <f>('Salary DATA'!AI56/'Salary DATA'!$AI$6)*100</f>
        <v>116.39830571874674</v>
      </c>
      <c r="H58" s="165">
        <f>RANK('Salary DATA'!AH56,'Salary DATA'!$AH$12:$AH$64)</f>
        <v>6</v>
      </c>
      <c r="I58" s="166">
        <f>RANK('Salary DATA'!AI56,'Salary DATA'!$AI$12:$AI$64)</f>
        <v>4</v>
      </c>
      <c r="J58" s="300"/>
    </row>
    <row r="59" spans="1:10">
      <c r="A59" s="132" t="s">
        <v>137</v>
      </c>
      <c r="B59" s="132"/>
      <c r="C59" s="179">
        <f>+'Salary DATA'!AI57</f>
        <v>71449.829701372073</v>
      </c>
      <c r="D59" s="180">
        <f>(('Salary DATA'!AI57-'Salary DATA'!AH57)/+'Salary DATA'!AH57)*100</f>
        <v>1.0690322779524188</v>
      </c>
      <c r="E59" s="181">
        <f>(('All Ranks Constant $'!C54-'All Ranks Constant $'!B54)/'All Ranks Constant $'!B54)*100</f>
        <v>-0.13637819875709437</v>
      </c>
      <c r="F59" s="182">
        <f>('Salary DATA'!AH57/'Salary DATA'!$AH$6)*100</f>
        <v>91.815359612994683</v>
      </c>
      <c r="G59" s="183">
        <f>('Salary DATA'!AI57/'Salary DATA'!$AI$6)*100</f>
        <v>91.676887382346152</v>
      </c>
      <c r="H59" s="165">
        <f>RANK('Salary DATA'!AH57,'Salary DATA'!$AH$12:$AH$64)</f>
        <v>33</v>
      </c>
      <c r="I59" s="166">
        <f>RANK('Salary DATA'!AI57,'Salary DATA'!$AI$12:$AI$64)</f>
        <v>34</v>
      </c>
      <c r="J59" s="300"/>
    </row>
    <row r="60" spans="1:10">
      <c r="A60" s="132" t="s">
        <v>138</v>
      </c>
      <c r="B60" s="132"/>
      <c r="C60" s="179">
        <f>+'Salary DATA'!AI58</f>
        <v>81053.542684462358</v>
      </c>
      <c r="D60" s="180">
        <f>(('Salary DATA'!AI58-'Salary DATA'!AH58)/+'Salary DATA'!AH58)*100</f>
        <v>0.80920687792908996</v>
      </c>
      <c r="E60" s="181">
        <f>(('All Ranks Constant $'!C55-'All Ranks Constant $'!B55)/'All Ranks Constant $'!B55)*100</f>
        <v>-0.39310476373428643</v>
      </c>
      <c r="F60" s="182">
        <f>('Salary DATA'!AH58/'Salary DATA'!$AH$6)*100</f>
        <v>104.42489632748652</v>
      </c>
      <c r="G60" s="183">
        <f>('Salary DATA'!AI58/'Salary DATA'!$AI$6)*100</f>
        <v>103.99935921024243</v>
      </c>
      <c r="H60" s="165">
        <f>RANK('Salary DATA'!AH58,'Salary DATA'!$AH$12:$AH$64)</f>
        <v>14</v>
      </c>
      <c r="I60" s="166">
        <f>RANK('Salary DATA'!AI58,'Salary DATA'!$AI$12:$AI$64)</f>
        <v>14</v>
      </c>
      <c r="J60" s="300"/>
    </row>
    <row r="61" spans="1:10">
      <c r="A61" s="132" t="s">
        <v>139</v>
      </c>
      <c r="B61" s="132"/>
      <c r="C61" s="179">
        <f>+'Salary DATA'!AI59</f>
        <v>85722.166988416982</v>
      </c>
      <c r="D61" s="180">
        <f>(('Salary DATA'!AI59-'Salary DATA'!AH59)/+'Salary DATA'!AH59)*100</f>
        <v>2.2597265834636384</v>
      </c>
      <c r="E61" s="181">
        <f>(('All Ranks Constant $'!C56-'All Ranks Constant $'!B56)/'All Ranks Constant $'!B56)*100</f>
        <v>1.0401151654957257</v>
      </c>
      <c r="F61" s="182">
        <f>('Salary DATA'!AH59/'Salary DATA'!$AH$6)*100</f>
        <v>108.87314359793083</v>
      </c>
      <c r="G61" s="183">
        <f>('Salary DATA'!AI59/'Salary DATA'!$AI$6)*100</f>
        <v>109.98964562986021</v>
      </c>
      <c r="H61" s="165">
        <f>RANK('Salary DATA'!AH59,'Salary DATA'!$AH$12:$AH$64)</f>
        <v>8</v>
      </c>
      <c r="I61" s="166">
        <f>RANK('Salary DATA'!AI59,'Salary DATA'!$AI$12:$AI$64)</f>
        <v>9</v>
      </c>
      <c r="J61" s="300"/>
    </row>
    <row r="62" spans="1:10">
      <c r="A62" s="141" t="s">
        <v>140</v>
      </c>
      <c r="B62" s="141"/>
      <c r="C62" s="164">
        <f>+'Salary DATA'!AI60</f>
        <v>99784.209193751129</v>
      </c>
      <c r="D62" s="173">
        <f>(('Salary DATA'!AI60-'Salary DATA'!AH60)/+'Salary DATA'!AH60)*100</f>
        <v>3.1229527847039531</v>
      </c>
      <c r="E62" s="174">
        <f>(('All Ranks Constant $'!C57-'All Ranks Constant $'!B57)/'All Ranks Constant $'!B57)*100</f>
        <v>1.8930460083726297</v>
      </c>
      <c r="F62" s="175">
        <f>('Salary DATA'!AH60/'Salary DATA'!$AH$6)*100</f>
        <v>125.67205849476592</v>
      </c>
      <c r="G62" s="176">
        <f>('Salary DATA'!AI60/'Salary DATA'!$AI$6)*100</f>
        <v>128.0325754032738</v>
      </c>
      <c r="H62" s="177">
        <f>RANK('Salary DATA'!AH60,'Salary DATA'!$AH$12:$AH$64)</f>
        <v>1</v>
      </c>
      <c r="I62" s="178">
        <f>RANK('Salary DATA'!AI60,'Salary DATA'!$AI$12:$AI$64)</f>
        <v>1</v>
      </c>
      <c r="J62" s="300"/>
    </row>
    <row r="63" spans="1:10">
      <c r="A63" s="141" t="s">
        <v>141</v>
      </c>
      <c r="B63" s="141"/>
      <c r="C63" s="164">
        <f>+'Salary DATA'!AI61</f>
        <v>87247.071416857987</v>
      </c>
      <c r="D63" s="173">
        <f>(('Salary DATA'!AI61-'Salary DATA'!AH61)/+'Salary DATA'!AH61)*100</f>
        <v>5.5359225726646377</v>
      </c>
      <c r="E63" s="174">
        <f>(('All Ranks Constant $'!C58-'All Ranks Constant $'!B58)/'All Ranks Constant $'!B58)*100</f>
        <v>4.2772372575778164</v>
      </c>
      <c r="F63" s="175">
        <f>('Salary DATA'!AH61/'Salary DATA'!$AH$6)*100</f>
        <v>107.36996117618487</v>
      </c>
      <c r="G63" s="176">
        <f>('Salary DATA'!AI61/'Salary DATA'!$AI$6)*100</f>
        <v>111.94624219754023</v>
      </c>
      <c r="H63" s="177">
        <f>RANK('Salary DATA'!AH61,'Salary DATA'!$AH$12:$AH$64)</f>
        <v>10</v>
      </c>
      <c r="I63" s="178">
        <f>RANK('Salary DATA'!AI61,'Salary DATA'!$AI$12:$AI$64)</f>
        <v>7</v>
      </c>
      <c r="J63" s="300"/>
    </row>
    <row r="64" spans="1:10">
      <c r="A64" s="62" t="s">
        <v>142</v>
      </c>
      <c r="B64" s="62"/>
      <c r="C64" s="184">
        <f>+'Salary DATA'!AI62</f>
        <v>82094.142869127521</v>
      </c>
      <c r="D64" s="173">
        <f>(('Salary DATA'!AI62-'Salary DATA'!AH62)/+'Salary DATA'!AH62)*100</f>
        <v>4.0010474783872869</v>
      </c>
      <c r="E64" s="174">
        <f>(('All Ranks Constant $'!C59-'All Ranks Constant $'!B59)/'All Ranks Constant $'!B59)*100</f>
        <v>2.7606680130487176</v>
      </c>
      <c r="F64" s="175">
        <f>('Salary DATA'!AH62/'Salary DATA'!$AH$6)*100</f>
        <v>102.51955404258052</v>
      </c>
      <c r="G64" s="176">
        <f>('Salary DATA'!AI62/'Salary DATA'!$AI$6)*100</f>
        <v>105.33454764019841</v>
      </c>
      <c r="H64" s="177">
        <f>RANK('Salary DATA'!AH62,'Salary DATA'!$AH$12:$AH$64)</f>
        <v>19</v>
      </c>
      <c r="I64" s="178">
        <f>RANK('Salary DATA'!AI62,'Salary DATA'!$AI$12:$AI$64)</f>
        <v>13</v>
      </c>
      <c r="J64" s="300"/>
    </row>
    <row r="65" spans="1:13">
      <c r="A65" s="62" t="s">
        <v>0</v>
      </c>
      <c r="B65" s="62"/>
      <c r="C65" s="184">
        <f>+'Salary DATA'!AI63</f>
        <v>77451.750495049506</v>
      </c>
      <c r="D65" s="173">
        <f>(('Salary DATA'!AI63-'Salary DATA'!AH63)/+'Salary DATA'!AH63)*100</f>
        <v>-0.35142921085872003</v>
      </c>
      <c r="E65" s="174">
        <f>(('All Ranks Constant $'!C60-'All Ranks Constant $'!B60)/'All Ranks Constant $'!B60)*100</f>
        <v>-1.5398984037567298</v>
      </c>
      <c r="F65" s="175">
        <f>('Salary DATA'!AH63/'Salary DATA'!$AH$6)*100</f>
        <v>100.94676654790553</v>
      </c>
      <c r="G65" s="176">
        <f>('Salary DATA'!AI63/'Salary DATA'!$AI$6)*100</f>
        <v>99.377919266949249</v>
      </c>
      <c r="H65" s="177">
        <f>RANK('Salary DATA'!AH63,'Salary DATA'!$AH$12:$AH$64)</f>
        <v>21</v>
      </c>
      <c r="I65" s="178">
        <f>RANK('Salary DATA'!AI63,'Salary DATA'!$AI$12:$AI$64)</f>
        <v>22</v>
      </c>
      <c r="J65" s="300"/>
    </row>
    <row r="66" spans="1:13">
      <c r="A66" s="63" t="s">
        <v>1</v>
      </c>
      <c r="B66" s="63"/>
      <c r="C66" s="185">
        <f>+'Salary DATA'!AI64</f>
        <v>76387.256188118816</v>
      </c>
      <c r="D66" s="186">
        <f>(('Salary DATA'!AI64-'Salary DATA'!AH64)/+'Salary DATA'!AH64)*100</f>
        <v>3.0114022704209233</v>
      </c>
      <c r="E66" s="187">
        <f>(('All Ranks Constant $'!C61-'All Ranks Constant $'!B61)/'All Ranks Constant $'!B61)*100</f>
        <v>1.7828259130672917</v>
      </c>
      <c r="F66" s="188">
        <f>('Salary DATA'!AH64/'Salary DATA'!$AH$6)*100</f>
        <v>96.309218847023075</v>
      </c>
      <c r="G66" s="189">
        <f>('Salary DATA'!AI64/'Salary DATA'!$AI$6)*100</f>
        <v>98.012072418838997</v>
      </c>
      <c r="H66" s="190">
        <f>RANK('Salary DATA'!AH64,'Salary DATA'!$AH$12:$AH$64)</f>
        <v>26</v>
      </c>
      <c r="I66" s="191">
        <f>RANK('Salary DATA'!AI64,'Salary DATA'!$AI$12:$AI$64)</f>
        <v>24</v>
      </c>
    </row>
    <row r="67" spans="1:13">
      <c r="A67" s="192" t="s">
        <v>2</v>
      </c>
      <c r="B67" s="192"/>
      <c r="C67" s="193">
        <f>+'Salary DATA'!AI65</f>
        <v>78435.904761904763</v>
      </c>
      <c r="D67" s="194">
        <f>(('Salary DATA'!AI65-'Salary DATA'!AH65)/+'Salary DATA'!AH65)*100</f>
        <v>2.6532170727360289</v>
      </c>
      <c r="E67" s="195">
        <f>(('All Ranks Constant $'!C62-'All Ranks Constant $'!B62)/'All Ranks Constant $'!B62)*100</f>
        <v>1.4289126489327537</v>
      </c>
      <c r="F67" s="196">
        <f>('Salary DATA'!AH65/'Salary DATA'!$AH$6)*100</f>
        <v>99.237221264583823</v>
      </c>
      <c r="G67" s="197">
        <f>('Salary DATA'!AI65/'Salary DATA'!$AI$6)*100</f>
        <v>100.64068224716125</v>
      </c>
      <c r="H67" s="198"/>
      <c r="I67" s="197"/>
    </row>
    <row r="68" spans="1:13" ht="9" customHeight="1">
      <c r="A68" s="199"/>
      <c r="B68" s="200"/>
      <c r="C68" s="201"/>
      <c r="D68" s="202"/>
      <c r="E68" s="202"/>
      <c r="F68" s="203"/>
      <c r="G68" s="203"/>
      <c r="H68" s="204"/>
      <c r="I68" s="204"/>
    </row>
    <row r="69" spans="1:13" s="282" customFormat="1" ht="98.25" customHeight="1">
      <c r="A69" s="281" t="s">
        <v>13</v>
      </c>
      <c r="B69" s="306" t="s">
        <v>28</v>
      </c>
      <c r="C69" s="307"/>
      <c r="D69" s="307"/>
      <c r="E69" s="307"/>
      <c r="F69" s="307"/>
      <c r="G69" s="307"/>
      <c r="H69" s="307"/>
      <c r="I69" s="307"/>
      <c r="J69" s="283"/>
      <c r="K69" s="283"/>
      <c r="L69" s="283"/>
      <c r="M69" s="209"/>
    </row>
    <row r="70" spans="1:13" s="206" customFormat="1" ht="38.25" customHeight="1">
      <c r="A70" s="308" t="s">
        <v>22</v>
      </c>
      <c r="B70" s="309"/>
      <c r="C70" s="309"/>
      <c r="D70" s="309"/>
      <c r="E70" s="309"/>
      <c r="F70" s="309"/>
      <c r="G70" s="309"/>
      <c r="H70" s="309"/>
      <c r="I70" s="309"/>
    </row>
    <row r="71" spans="1:13" s="206" customFormat="1" ht="18" customHeight="1">
      <c r="A71" s="207" t="s">
        <v>87</v>
      </c>
      <c r="B71" s="310" t="s">
        <v>92</v>
      </c>
      <c r="C71" s="310"/>
      <c r="D71" s="310"/>
      <c r="E71" s="310"/>
      <c r="F71" s="310"/>
      <c r="G71" s="310"/>
      <c r="H71" s="311"/>
      <c r="I71" s="311"/>
    </row>
    <row r="72" spans="1:13" s="206" customFormat="1" ht="18" customHeight="1">
      <c r="A72" s="93"/>
      <c r="B72" s="284" t="s">
        <v>100</v>
      </c>
      <c r="C72" s="93"/>
      <c r="D72" s="95"/>
      <c r="E72" s="93"/>
      <c r="F72" s="93"/>
      <c r="G72" s="93"/>
      <c r="I72" s="205"/>
    </row>
    <row r="73" spans="1:13">
      <c r="A73" s="208"/>
      <c r="C73" s="208"/>
      <c r="I73" s="213" t="s">
        <v>27</v>
      </c>
    </row>
    <row r="74" spans="1:13" s="206" customFormat="1">
      <c r="B74" s="93"/>
      <c r="D74" s="205"/>
      <c r="I74" s="205"/>
    </row>
  </sheetData>
  <mergeCells count="4">
    <mergeCell ref="F5:G5"/>
    <mergeCell ref="B69:I69"/>
    <mergeCell ref="A70:I70"/>
    <mergeCell ref="B71:I71"/>
  </mergeCells>
  <phoneticPr fontId="20" type="noConversion"/>
  <printOptions horizontalCentered="1"/>
  <pageMargins left="0.75" right="0.75" top="1" bottom="0.75" header="0.5" footer="0.5"/>
  <pageSetup orientation="portrait" r:id="rId1"/>
  <headerFooter alignWithMargins="0">
    <oddFooter>&amp;L&amp;"Helvetica-Narrow,Regular"&amp;8SREB Fact Book&amp;R&amp;"Helvetica-Narrow,Regular"&amp;8&amp;D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theme="5" tint="0.59999389629810485"/>
  </sheetPr>
  <dimension ref="A1:IQ98"/>
  <sheetViews>
    <sheetView showGridLines="0" view="pageBreakPreview" zoomScaleSheetLayoutView="100" workbookViewId="0">
      <selection activeCell="D9" sqref="D9"/>
    </sheetView>
  </sheetViews>
  <sheetFormatPr defaultColWidth="9.85546875" defaultRowHeight="12.75"/>
  <cols>
    <col min="1" max="2" width="9.85546875" style="214"/>
    <col min="3" max="3" width="10" style="217" bestFit="1" customWidth="1"/>
    <col min="4" max="4" width="10.140625" style="214" bestFit="1" customWidth="1"/>
    <col min="5" max="6" width="10" style="214" bestFit="1" customWidth="1"/>
    <col min="7" max="7" width="10" style="213" bestFit="1" customWidth="1"/>
    <col min="8" max="8" width="10" style="214" bestFit="1" customWidth="1"/>
    <col min="9" max="11" width="10" style="217" bestFit="1" customWidth="1"/>
    <col min="12" max="12" width="10" style="214" bestFit="1" customWidth="1"/>
    <col min="13" max="16384" width="9.85546875" style="214"/>
  </cols>
  <sheetData>
    <row r="1" spans="1:12">
      <c r="A1" s="210" t="s">
        <v>17</v>
      </c>
      <c r="B1" s="210"/>
      <c r="C1" s="211"/>
      <c r="D1" s="212"/>
      <c r="E1" s="212"/>
      <c r="F1" s="212"/>
      <c r="H1" s="212"/>
      <c r="I1" s="211"/>
      <c r="J1" s="211"/>
      <c r="K1" s="211"/>
      <c r="L1" s="212"/>
    </row>
    <row r="2" spans="1:12" ht="12" customHeight="1">
      <c r="A2" s="210" t="s">
        <v>9</v>
      </c>
      <c r="B2" s="215"/>
      <c r="C2" s="216"/>
      <c r="D2" s="215"/>
      <c r="E2" s="215"/>
      <c r="F2" s="215"/>
      <c r="G2" s="215"/>
    </row>
    <row r="3" spans="1:12">
      <c r="A3" s="212"/>
      <c r="B3" s="212"/>
      <c r="C3" s="211"/>
      <c r="D3" s="212"/>
      <c r="E3" s="212"/>
      <c r="F3" s="212"/>
      <c r="I3" s="218"/>
    </row>
    <row r="4" spans="1:12">
      <c r="A4" s="219"/>
      <c r="B4" s="219"/>
      <c r="C4" s="220" t="s">
        <v>19</v>
      </c>
      <c r="D4" s="220"/>
      <c r="E4" s="220"/>
      <c r="F4" s="220"/>
      <c r="G4" s="220"/>
      <c r="H4" s="221" t="s">
        <v>26</v>
      </c>
      <c r="I4" s="222"/>
      <c r="J4" s="223"/>
      <c r="K4" s="223"/>
      <c r="L4" s="223"/>
    </row>
    <row r="5" spans="1:12">
      <c r="C5" s="224"/>
      <c r="D5" s="225"/>
      <c r="E5" s="224" t="s">
        <v>61</v>
      </c>
      <c r="F5" s="224" t="s">
        <v>62</v>
      </c>
      <c r="G5" s="226"/>
      <c r="H5" s="227"/>
      <c r="I5" s="228"/>
      <c r="J5" s="224" t="s">
        <v>61</v>
      </c>
      <c r="K5" s="224" t="s">
        <v>62</v>
      </c>
      <c r="L5" s="224"/>
    </row>
    <row r="6" spans="1:12" s="217" customFormat="1" ht="14.25">
      <c r="A6" s="218"/>
      <c r="B6" s="218"/>
      <c r="C6" s="229" t="s">
        <v>16</v>
      </c>
      <c r="D6" s="230" t="s">
        <v>31</v>
      </c>
      <c r="E6" s="229" t="s">
        <v>31</v>
      </c>
      <c r="F6" s="229" t="s">
        <v>31</v>
      </c>
      <c r="G6" s="231" t="s">
        <v>34</v>
      </c>
      <c r="H6" s="285" t="s">
        <v>16</v>
      </c>
      <c r="I6" s="230" t="s">
        <v>31</v>
      </c>
      <c r="J6" s="229" t="s">
        <v>31</v>
      </c>
      <c r="K6" s="229" t="s">
        <v>31</v>
      </c>
      <c r="L6" s="229" t="s">
        <v>34</v>
      </c>
    </row>
    <row r="7" spans="1:12" s="217" customFormat="1">
      <c r="C7" s="211"/>
      <c r="D7" s="225"/>
      <c r="E7" s="211"/>
      <c r="F7" s="211"/>
      <c r="G7" s="232"/>
      <c r="H7" s="225"/>
      <c r="I7" s="225"/>
      <c r="J7" s="211"/>
      <c r="K7" s="211"/>
      <c r="L7" s="211"/>
    </row>
    <row r="8" spans="1:12">
      <c r="A8" s="63" t="s">
        <v>11</v>
      </c>
      <c r="B8" s="63"/>
      <c r="C8" s="120">
        <f>'Salary DATA'!AI6</f>
        <v>77936.578936613063</v>
      </c>
      <c r="D8" s="233">
        <f>'Salary DATA'!BG6</f>
        <v>106461.12561464605</v>
      </c>
      <c r="E8" s="120">
        <f>'Salary DATA'!CE6</f>
        <v>76564.342974732557</v>
      </c>
      <c r="F8" s="120">
        <f>'Salary DATA'!DC6</f>
        <v>64693.055382984676</v>
      </c>
      <c r="G8" s="120">
        <f>'Salary DATA'!EA6</f>
        <v>44787.213292532346</v>
      </c>
      <c r="H8" s="287">
        <f>(('Salary DATA'!AI6-'Salary DATA'!AH6)/'Salary DATA'!AH6)*100</f>
        <v>1.2216907587170196</v>
      </c>
      <c r="I8" s="122">
        <f>(('Salary DATA'!BG6-'Salary DATA'!BF6)/'Salary DATA'!BF6)*100</f>
        <v>1.1365694103524544</v>
      </c>
      <c r="J8" s="234">
        <f>(('Salary DATA'!CE6-'Salary DATA'!CD6)/'Salary DATA'!CD6)*100</f>
        <v>1.081554300586244</v>
      </c>
      <c r="K8" s="124">
        <f>(('Salary DATA'!DC6-'Salary DATA'!DB6)/'Salary DATA'!DB6)*100</f>
        <v>1.5655209146726654</v>
      </c>
      <c r="L8" s="63">
        <f>(('Salary DATA'!EA6-'Salary DATA'!DZ6)/'Salary DATA'!DZ6)*100</f>
        <v>0.55163236473396293</v>
      </c>
    </row>
    <row r="9" spans="1:12">
      <c r="A9" s="61" t="s">
        <v>66</v>
      </c>
      <c r="B9" s="61"/>
      <c r="C9" s="125">
        <f>'Salary DATA'!AI10</f>
        <v>73954.52597053448</v>
      </c>
      <c r="D9" s="235">
        <f>'Salary DATA'!BG10</f>
        <v>103212.32795590247</v>
      </c>
      <c r="E9" s="125">
        <f>'Salary DATA'!CE10</f>
        <v>73898.324697466276</v>
      </c>
      <c r="F9" s="125">
        <f>'Salary DATA'!DC10</f>
        <v>62423.735593316022</v>
      </c>
      <c r="G9" s="125">
        <f>'Salary DATA'!EA10</f>
        <v>44395.283326791636</v>
      </c>
      <c r="H9" s="288">
        <f>(('Salary DATA'!AI10-'Salary DATA'!AH10)/'Salary DATA'!AH10)*100</f>
        <v>0.6748000107200699</v>
      </c>
      <c r="I9" s="127">
        <f>(('Salary DATA'!BG10-'Salary DATA'!BF10)/'Salary DATA'!BF10)*100</f>
        <v>0.5123340783019652</v>
      </c>
      <c r="J9" s="237">
        <f>(('Salary DATA'!CE10-'Salary DATA'!CD10)/'Salary DATA'!CD10)*100</f>
        <v>0.26160392951206696</v>
      </c>
      <c r="K9" s="129">
        <f>(('Salary DATA'!DC10-'Salary DATA'!DB10)/'Salary DATA'!DB10)*100</f>
        <v>0.64477908863344802</v>
      </c>
      <c r="L9" s="238">
        <f>(('Salary DATA'!EA10-'Salary DATA'!DZ10)/'Salary DATA'!DZ10)*100</f>
        <v>0.50253517754471366</v>
      </c>
    </row>
    <row r="10" spans="1:12">
      <c r="A10" s="61" t="s">
        <v>8</v>
      </c>
      <c r="B10" s="61"/>
      <c r="C10" s="239">
        <f>(C9/$C$8)*100</f>
        <v>94.890649525023107</v>
      </c>
      <c r="D10" s="236">
        <f>(D9/$D$8)*100</f>
        <v>96.948371868147305</v>
      </c>
      <c r="E10" s="239">
        <f>(E9/$E$8)*100</f>
        <v>96.517937497163516</v>
      </c>
      <c r="F10" s="239">
        <f>(F9/$F$8)*100</f>
        <v>96.492174042122116</v>
      </c>
      <c r="G10" s="239">
        <f>(G9/$G$8)*100</f>
        <v>99.124906559421817</v>
      </c>
      <c r="H10" s="289"/>
      <c r="I10" s="127"/>
      <c r="J10" s="237"/>
      <c r="K10" s="129"/>
      <c r="L10" s="238"/>
    </row>
    <row r="11" spans="1:12">
      <c r="A11" s="132" t="s">
        <v>46</v>
      </c>
      <c r="B11" s="132"/>
      <c r="C11" s="133">
        <f>'Salary DATA'!AI12</f>
        <v>72751.781656992593</v>
      </c>
      <c r="D11" s="240">
        <f>'Salary DATA'!BG12</f>
        <v>101278.95544807122</v>
      </c>
      <c r="E11" s="133">
        <f>'Salary DATA'!CE12</f>
        <v>74325.366958983883</v>
      </c>
      <c r="F11" s="133">
        <f>'Salary DATA'!DC12</f>
        <v>59541.282097691896</v>
      </c>
      <c r="G11" s="133">
        <f>'Salary DATA'!EA12</f>
        <v>44337.701189961394</v>
      </c>
      <c r="H11" s="290">
        <f>(('Salary DATA'!AI12-'Salary DATA'!AH12)/'Salary DATA'!AH12)*100</f>
        <v>1.3901262590546011</v>
      </c>
      <c r="I11" s="135">
        <f>(('Salary DATA'!BG12-'Salary DATA'!BF12)/'Salary DATA'!BF12)*100</f>
        <v>1.6436352855072747</v>
      </c>
      <c r="J11" s="241">
        <f>(('Salary DATA'!CE12-'Salary DATA'!CD12)/'Salary DATA'!CD12)*100</f>
        <v>2.2065558376766035</v>
      </c>
      <c r="K11" s="137">
        <f>(('Salary DATA'!DC12-'Salary DATA'!DB12)/'Salary DATA'!DB12)*100</f>
        <v>1.7204483345450856</v>
      </c>
      <c r="L11" s="242">
        <f>(('Salary DATA'!EA12-'Salary DATA'!DZ12)/'Salary DATA'!DZ12)*100</f>
        <v>1.218160504486705</v>
      </c>
    </row>
    <row r="12" spans="1:12">
      <c r="A12" s="132" t="s">
        <v>47</v>
      </c>
      <c r="B12" s="132"/>
      <c r="C12" s="133">
        <f>'Salary DATA'!AI13</f>
        <v>61129.79961629834</v>
      </c>
      <c r="D12" s="240">
        <f>'Salary DATA'!BG13</f>
        <v>85496.518468750015</v>
      </c>
      <c r="E12" s="133">
        <f>'Salary DATA'!CE13</f>
        <v>64329.264804502367</v>
      </c>
      <c r="F12" s="133">
        <f>'Salary DATA'!DC13</f>
        <v>55323.244611267604</v>
      </c>
      <c r="G12" s="133">
        <f>'Salary DATA'!EA13</f>
        <v>39685.125020909087</v>
      </c>
      <c r="H12" s="290">
        <f>(('Salary DATA'!AI13-'Salary DATA'!AH13)/'Salary DATA'!AH13)*100</f>
        <v>2.2373268723656219</v>
      </c>
      <c r="I12" s="135">
        <f>(('Salary DATA'!BG13-'Salary DATA'!BF13)/'Salary DATA'!BF13)*100</f>
        <v>1.6526557799258299</v>
      </c>
      <c r="J12" s="241">
        <f>(('Salary DATA'!CE13-'Salary DATA'!CD13)/'Salary DATA'!CD13)*100</f>
        <v>1.3249979131883294</v>
      </c>
      <c r="K12" s="137">
        <f>(('Salary DATA'!DC13-'Salary DATA'!DB13)/'Salary DATA'!DB13)*100</f>
        <v>2.4891539180737743</v>
      </c>
      <c r="L12" s="242">
        <f>(('Salary DATA'!EA13-'Salary DATA'!DZ13)/'Salary DATA'!DZ13)*100</f>
        <v>-0.66724941705957974</v>
      </c>
    </row>
    <row r="13" spans="1:12">
      <c r="A13" s="132" t="s">
        <v>65</v>
      </c>
      <c r="B13" s="132"/>
      <c r="C13" s="133">
        <f>'Salary DATA'!AI14</f>
        <v>94474.343564954674</v>
      </c>
      <c r="D13" s="240">
        <f>'Salary DATA'!BG14</f>
        <v>129796.89912192771</v>
      </c>
      <c r="E13" s="133">
        <f>'Salary DATA'!CE14</f>
        <v>86343.212614678909</v>
      </c>
      <c r="F13" s="133">
        <f>'Salary DATA'!DC14</f>
        <v>74674.032444759214</v>
      </c>
      <c r="G13" s="133">
        <f>'Salary DATA'!EA14</f>
        <v>60414.894842372887</v>
      </c>
      <c r="H13" s="290">
        <f>(('Salary DATA'!AI14-'Salary DATA'!AH14)/'Salary DATA'!AH14)*100</f>
        <v>0.9897136721494677</v>
      </c>
      <c r="I13" s="135">
        <f>(('Salary DATA'!BG14-'Salary DATA'!BF14)/'Salary DATA'!BF14)*100</f>
        <v>1.649390732056637</v>
      </c>
      <c r="J13" s="241">
        <f>(('Salary DATA'!CE14-'Salary DATA'!CD14)/'Salary DATA'!CD14)*100</f>
        <v>1.6931385091628159</v>
      </c>
      <c r="K13" s="137">
        <f>(('Salary DATA'!DC14-'Salary DATA'!DB14)/'Salary DATA'!DB14)*100</f>
        <v>2.2569329862274561</v>
      </c>
      <c r="L13" s="242">
        <f>(('Salary DATA'!EA14-'Salary DATA'!DZ14)/'Salary DATA'!DZ14)*100</f>
        <v>1.1553935072098021</v>
      </c>
    </row>
    <row r="14" spans="1:12">
      <c r="A14" s="132" t="s">
        <v>48</v>
      </c>
      <c r="B14" s="132"/>
      <c r="C14" s="133">
        <f>'Salary DATA'!AI15</f>
        <v>78037.041880881632</v>
      </c>
      <c r="D14" s="240">
        <f>'Salary DATA'!BG15</f>
        <v>108816.0737400261</v>
      </c>
      <c r="E14" s="133">
        <f>'Salary DATA'!CE15</f>
        <v>76213.591940350088</v>
      </c>
      <c r="F14" s="133">
        <f>'Salary DATA'!DC15</f>
        <v>66022.436329974167</v>
      </c>
      <c r="G14" s="133">
        <f>'Salary DATA'!EA15</f>
        <v>48193.315039025052</v>
      </c>
      <c r="H14" s="290">
        <f>(('Salary DATA'!AI15-'Salary DATA'!AH15)/'Salary DATA'!AH15)*100</f>
        <v>2.2541219893413231</v>
      </c>
      <c r="I14" s="135">
        <f>(('Salary DATA'!BG15-'Salary DATA'!BF15)/'Salary DATA'!BF15)*100</f>
        <v>2.1764179522824811</v>
      </c>
      <c r="J14" s="241">
        <f>(('Salary DATA'!CE15-'Salary DATA'!CD15)/'Salary DATA'!CD15)*100</f>
        <v>2.5707388529500368</v>
      </c>
      <c r="K14" s="137">
        <f>(('Salary DATA'!DC15-'Salary DATA'!DB15)/'Salary DATA'!DB15)*100</f>
        <v>2.3835997252862815</v>
      </c>
      <c r="L14" s="242">
        <f>(('Salary DATA'!EA15-'Salary DATA'!DZ15)/'Salary DATA'!DZ15)*100</f>
        <v>1.3393586764219627</v>
      </c>
    </row>
    <row r="15" spans="1:12">
      <c r="A15" s="141" t="s">
        <v>49</v>
      </c>
      <c r="B15" s="141"/>
      <c r="C15" s="125">
        <f>'Salary DATA'!AI16</f>
        <v>72774.068051609604</v>
      </c>
      <c r="D15" s="235">
        <f>'Salary DATA'!BG16</f>
        <v>101168.65917953177</v>
      </c>
      <c r="E15" s="125">
        <f>'Salary DATA'!CE16</f>
        <v>71989.985605063499</v>
      </c>
      <c r="F15" s="125">
        <f>'Salary DATA'!DC16</f>
        <v>61304.205027633325</v>
      </c>
      <c r="G15" s="125">
        <f>'Salary DATA'!EA16</f>
        <v>43425.251119778484</v>
      </c>
      <c r="H15" s="288">
        <f>(('Salary DATA'!AI16-'Salary DATA'!AH16)/'Salary DATA'!AH16)*100</f>
        <v>-1.9075245533190899E-2</v>
      </c>
      <c r="I15" s="127">
        <f>(('Salary DATA'!BG16-'Salary DATA'!BF16)/'Salary DATA'!BF16)*100</f>
        <v>-1.0807719878855977</v>
      </c>
      <c r="J15" s="237">
        <f>(('Salary DATA'!CE16-'Salary DATA'!CD16)/'Salary DATA'!CD16)*100</f>
        <v>-0.61457410458014539</v>
      </c>
      <c r="K15" s="129">
        <f>(('Salary DATA'!DC16-'Salary DATA'!DB16)/'Salary DATA'!DB16)*100</f>
        <v>0.76858059228808417</v>
      </c>
      <c r="L15" s="243">
        <f>(('Salary DATA'!EA16-'Salary DATA'!DZ16)/'Salary DATA'!DZ16)*100</f>
        <v>3.5715959889782316</v>
      </c>
    </row>
    <row r="16" spans="1:12">
      <c r="A16" s="141" t="s">
        <v>50</v>
      </c>
      <c r="B16" s="141"/>
      <c r="C16" s="125">
        <f>'Salary DATA'!AI17</f>
        <v>69042.577551673312</v>
      </c>
      <c r="D16" s="235">
        <f>'Salary DATA'!BG17</f>
        <v>95418.927701073626</v>
      </c>
      <c r="E16" s="125">
        <f>'Salary DATA'!CE17</f>
        <v>69662.165112973758</v>
      </c>
      <c r="F16" s="125">
        <f>'Salary DATA'!DC17</f>
        <v>59297.967202305474</v>
      </c>
      <c r="G16" s="125">
        <f>'Salary DATA'!EA17</f>
        <v>44482.54244432717</v>
      </c>
      <c r="H16" s="288">
        <f>(('Salary DATA'!AI17-'Salary DATA'!AH17)/'Salary DATA'!AH17)*100</f>
        <v>1.1452240191849195</v>
      </c>
      <c r="I16" s="127">
        <f>(('Salary DATA'!BG17-'Salary DATA'!BF17)/'Salary DATA'!BF17)*100</f>
        <v>1.4465235905080567</v>
      </c>
      <c r="J16" s="237">
        <f>(('Salary DATA'!CE17-'Salary DATA'!CD17)/'Salary DATA'!CD17)*100</f>
        <v>-3.156437707160939E-2</v>
      </c>
      <c r="K16" s="129">
        <f>(('Salary DATA'!DC17-'Salary DATA'!DB17)/'Salary DATA'!DB17)*100</f>
        <v>1.7522189163141213</v>
      </c>
      <c r="L16" s="243">
        <f>(('Salary DATA'!EA17-'Salary DATA'!DZ17)/'Salary DATA'!DZ17)*100</f>
        <v>2.1009342955382473</v>
      </c>
    </row>
    <row r="17" spans="1:12">
      <c r="A17" s="141" t="s">
        <v>51</v>
      </c>
      <c r="B17" s="141"/>
      <c r="C17" s="125">
        <f>'Salary DATA'!AI18</f>
        <v>65908.823999419736</v>
      </c>
      <c r="D17" s="235">
        <f>'Salary DATA'!BG18</f>
        <v>91274.647875301205</v>
      </c>
      <c r="E17" s="125">
        <f>'Salary DATA'!CE18</f>
        <v>68556.594056930684</v>
      </c>
      <c r="F17" s="125">
        <f>'Salary DATA'!DC18</f>
        <v>58066.627615221711</v>
      </c>
      <c r="G17" s="125">
        <f>'Salary DATA'!EA18</f>
        <v>42506.175407272727</v>
      </c>
      <c r="H17" s="288">
        <f>(('Salary DATA'!AI18-'Salary DATA'!AH18)/'Salary DATA'!AH18)*100</f>
        <v>0.66352805521902891</v>
      </c>
      <c r="I17" s="127">
        <f>(('Salary DATA'!BG18-'Salary DATA'!BF18)/'Salary DATA'!BF18)*100</f>
        <v>-0.43828416927748648</v>
      </c>
      <c r="J17" s="237">
        <f>(('Salary DATA'!CE18-'Salary DATA'!CD18)/'Salary DATA'!CD18)*100</f>
        <v>-0.32128012982842669</v>
      </c>
      <c r="K17" s="129">
        <f>(('Salary DATA'!DC18-'Salary DATA'!DB18)/'Salary DATA'!DB18)*100</f>
        <v>-0.12598377628059396</v>
      </c>
      <c r="L17" s="243">
        <f>(('Salary DATA'!EA18-'Salary DATA'!DZ18)/'Salary DATA'!DZ18)*100</f>
        <v>-5.4624298460800746E-2</v>
      </c>
    </row>
    <row r="18" spans="1:12">
      <c r="A18" s="141" t="s">
        <v>52</v>
      </c>
      <c r="B18" s="141"/>
      <c r="C18" s="125">
        <f>'Salary DATA'!AI19</f>
        <v>87322.115685592813</v>
      </c>
      <c r="D18" s="235">
        <f>'Salary DATA'!BG19</f>
        <v>114004.12994166066</v>
      </c>
      <c r="E18" s="125">
        <f>'Salary DATA'!CE19</f>
        <v>81246.602108148145</v>
      </c>
      <c r="F18" s="125">
        <f>'Salary DATA'!DC19</f>
        <v>67834.493388760588</v>
      </c>
      <c r="G18" s="125">
        <f>'Salary DATA'!EA19</f>
        <v>45021.114583333336</v>
      </c>
      <c r="H18" s="288">
        <f>(('Salary DATA'!AI19-'Salary DATA'!AH19)/'Salary DATA'!AH19)*100</f>
        <v>7.5942990552440426</v>
      </c>
      <c r="I18" s="127">
        <f>(('Salary DATA'!BG19-'Salary DATA'!BF19)/'Salary DATA'!BF19)*100</f>
        <v>-0.7830429353561642</v>
      </c>
      <c r="J18" s="237">
        <f>(('Salary DATA'!CE19-'Salary DATA'!CD19)/'Salary DATA'!CD19)*100</f>
        <v>-0.75128510390922265</v>
      </c>
      <c r="K18" s="129">
        <f>(('Salary DATA'!DC19-'Salary DATA'!DB19)/'Salary DATA'!DB19)*100</f>
        <v>-0.25031771944234626</v>
      </c>
      <c r="L18" s="243">
        <f>(('Salary DATA'!EA19-'Salary DATA'!DZ19)/'Salary DATA'!DZ19)*100</f>
        <v>-16.546944981654296</v>
      </c>
    </row>
    <row r="19" spans="1:12">
      <c r="A19" s="144" t="s">
        <v>53</v>
      </c>
      <c r="B19" s="144"/>
      <c r="C19" s="133">
        <f>'Salary DATA'!AI20</f>
        <v>62816.482272798901</v>
      </c>
      <c r="D19" s="240">
        <f>'Salary DATA'!BG20</f>
        <v>86896.227739107344</v>
      </c>
      <c r="E19" s="133">
        <f>'Salary DATA'!CE20</f>
        <v>67331.25147659854</v>
      </c>
      <c r="F19" s="133">
        <f>'Salary DATA'!DC20</f>
        <v>57791.179785715409</v>
      </c>
      <c r="G19" s="133">
        <f>'Salary DATA'!EA20</f>
        <v>41829.063639444103</v>
      </c>
      <c r="H19" s="290">
        <f>(('Salary DATA'!AI20-'Salary DATA'!AH20)/'Salary DATA'!AH20)*100</f>
        <v>0.46121396474704057</v>
      </c>
      <c r="I19" s="135">
        <f>(('Salary DATA'!BG20-'Salary DATA'!BF20)/'Salary DATA'!BF20)*100</f>
        <v>-1.1108149603030728</v>
      </c>
      <c r="J19" s="241">
        <f>(('Salary DATA'!CE20-'Salary DATA'!CD20)/'Salary DATA'!CD20)*100</f>
        <v>0.21861062714389271</v>
      </c>
      <c r="K19" s="137">
        <f>(('Salary DATA'!DC20-'Salary DATA'!DB20)/'Salary DATA'!DB20)*100</f>
        <v>1.9181656432959604</v>
      </c>
      <c r="L19" s="244">
        <f>(('Salary DATA'!EA20-'Salary DATA'!DZ20)/'Salary DATA'!DZ20)*100</f>
        <v>0.37366914550421165</v>
      </c>
    </row>
    <row r="20" spans="1:12">
      <c r="A20" s="144" t="s">
        <v>54</v>
      </c>
      <c r="B20" s="144"/>
      <c r="C20" s="133">
        <f>'Salary DATA'!AI21</f>
        <v>79332.810015933195</v>
      </c>
      <c r="D20" s="240">
        <f>'Salary DATA'!BG21</f>
        <v>111209.74035163083</v>
      </c>
      <c r="E20" s="133">
        <f>'Salary DATA'!CE21</f>
        <v>78771.143588214662</v>
      </c>
      <c r="F20" s="133">
        <f>'Salary DATA'!DC21</f>
        <v>67119.989633777426</v>
      </c>
      <c r="G20" s="133">
        <f>'Salary DATA'!EA21</f>
        <v>57502.924204678369</v>
      </c>
      <c r="H20" s="290">
        <f>(('Salary DATA'!AI21-'Salary DATA'!AH21)/'Salary DATA'!AH21)*100</f>
        <v>-0.25198004468371427</v>
      </c>
      <c r="I20" s="135">
        <f>(('Salary DATA'!BG21-'Salary DATA'!BF21)/'Salary DATA'!BF21)*100</f>
        <v>0.20893711980205246</v>
      </c>
      <c r="J20" s="241">
        <f>(('Salary DATA'!CE21-'Salary DATA'!CD21)/'Salary DATA'!CD21)*100</f>
        <v>-0.63231888843971462</v>
      </c>
      <c r="K20" s="137">
        <f>(('Salary DATA'!DC21-'Salary DATA'!DB21)/'Salary DATA'!DB21)*100</f>
        <v>0.20120533038620231</v>
      </c>
      <c r="L20" s="244">
        <f>(('Salary DATA'!EA21-'Salary DATA'!DZ21)/'Salary DATA'!DZ21)*100</f>
        <v>-2.4583705847936161</v>
      </c>
    </row>
    <row r="21" spans="1:12">
      <c r="A21" s="144" t="s">
        <v>55</v>
      </c>
      <c r="B21" s="144"/>
      <c r="C21" s="133">
        <f>'Salary DATA'!AI22</f>
        <v>66816.984268899527</v>
      </c>
      <c r="D21" s="240">
        <f>'Salary DATA'!BG22</f>
        <v>94344.138759067355</v>
      </c>
      <c r="E21" s="133">
        <f>'Salary DATA'!CE22</f>
        <v>66256.438672746328</v>
      </c>
      <c r="F21" s="133">
        <f>'Salary DATA'!DC22</f>
        <v>56960.608642215855</v>
      </c>
      <c r="G21" s="133">
        <f>'Salary DATA'!EA22</f>
        <v>40927.748899753693</v>
      </c>
      <c r="H21" s="290">
        <f>(('Salary DATA'!AI22-'Salary DATA'!AH22)/'Salary DATA'!AH22)*100</f>
        <v>0.29561264691688588</v>
      </c>
      <c r="I21" s="135">
        <f>(('Salary DATA'!BG22-'Salary DATA'!BF22)/'Salary DATA'!BF22)*100</f>
        <v>1.5100950408612568</v>
      </c>
      <c r="J21" s="241">
        <f>(('Salary DATA'!CE22-'Salary DATA'!CD22)/'Salary DATA'!CD22)*100</f>
        <v>-0.98573876155708851</v>
      </c>
      <c r="K21" s="137">
        <f>(('Salary DATA'!DC22-'Salary DATA'!DB22)/'Salary DATA'!DB22)*100</f>
        <v>0.18516075344603247</v>
      </c>
      <c r="L21" s="244">
        <f>(('Salary DATA'!EA22-'Salary DATA'!DZ22)/'Salary DATA'!DZ22)*100</f>
        <v>1.2220135918607165</v>
      </c>
    </row>
    <row r="22" spans="1:12">
      <c r="A22" s="144" t="s">
        <v>56</v>
      </c>
      <c r="B22" s="144"/>
      <c r="C22" s="133">
        <f>'Salary DATA'!AI23</f>
        <v>70294.330321588102</v>
      </c>
      <c r="D22" s="240">
        <f>'Salary DATA'!BG23</f>
        <v>95819.367490311415</v>
      </c>
      <c r="E22" s="133">
        <f>'Salary DATA'!CE23</f>
        <v>70864.954276638658</v>
      </c>
      <c r="F22" s="133">
        <f>'Salary DATA'!DC23</f>
        <v>61690.498728310173</v>
      </c>
      <c r="G22" s="133">
        <f>'Salary DATA'!EA23</f>
        <v>44725.983891627904</v>
      </c>
      <c r="H22" s="290">
        <f>(('Salary DATA'!AI23-'Salary DATA'!AH23)/'Salary DATA'!AH23)*100</f>
        <v>0.32449954159494182</v>
      </c>
      <c r="I22" s="135">
        <f>(('Salary DATA'!BG23-'Salary DATA'!BF23)/'Salary DATA'!BF23)*100</f>
        <v>0.54633132572345044</v>
      </c>
      <c r="J22" s="241">
        <f>(('Salary DATA'!CE23-'Salary DATA'!CD23)/'Salary DATA'!CD23)*100</f>
        <v>0.71237639932509578</v>
      </c>
      <c r="K22" s="137">
        <f>(('Salary DATA'!DC23-'Salary DATA'!DB23)/'Salary DATA'!DB23)*100</f>
        <v>-7.8591658789117502E-2</v>
      </c>
      <c r="L22" s="244">
        <f>(('Salary DATA'!EA23-'Salary DATA'!DZ23)/'Salary DATA'!DZ23)*100</f>
        <v>-4.505707283635102E-2</v>
      </c>
    </row>
    <row r="23" spans="1:12">
      <c r="A23" s="141" t="s">
        <v>57</v>
      </c>
      <c r="B23" s="141"/>
      <c r="C23" s="125">
        <f>'Salary DATA'!AI24</f>
        <v>67160.426279245279</v>
      </c>
      <c r="D23" s="235">
        <f>'Salary DATA'!BG24</f>
        <v>89490.38025434663</v>
      </c>
      <c r="E23" s="125">
        <f>'Salary DATA'!CE24</f>
        <v>67446.417528091406</v>
      </c>
      <c r="F23" s="125">
        <f>'Salary DATA'!DC24</f>
        <v>56349.175674069149</v>
      </c>
      <c r="G23" s="125">
        <f>'Salary DATA'!EA24</f>
        <v>40498.545316397234</v>
      </c>
      <c r="H23" s="288">
        <f>(('Salary DATA'!AI24-'Salary DATA'!AH24)/'Salary DATA'!AH24)*100</f>
        <v>-8.4319566660471676E-2</v>
      </c>
      <c r="I23" s="127">
        <f>(('Salary DATA'!BG24-'Salary DATA'!BF24)/'Salary DATA'!BF24)*100</f>
        <v>-6.8752220356426044E-2</v>
      </c>
      <c r="J23" s="237">
        <f>(('Salary DATA'!CE24-'Salary DATA'!CD24)/'Salary DATA'!CD24)*100</f>
        <v>-0.33096157924188679</v>
      </c>
      <c r="K23" s="129">
        <f>(('Salary DATA'!DC24-'Salary DATA'!DB24)/'Salary DATA'!DB24)*100</f>
        <v>1.4657058704234964</v>
      </c>
      <c r="L23" s="243">
        <f>(('Salary DATA'!EA24-'Salary DATA'!DZ24)/'Salary DATA'!DZ24)*100</f>
        <v>-0.6404513424067988</v>
      </c>
    </row>
    <row r="24" spans="1:12">
      <c r="A24" s="141" t="s">
        <v>58</v>
      </c>
      <c r="B24" s="141"/>
      <c r="C24" s="125">
        <f>'Salary DATA'!AI25</f>
        <v>75977.00008845485</v>
      </c>
      <c r="D24" s="235">
        <f>'Salary DATA'!BG25</f>
        <v>109758.07101240676</v>
      </c>
      <c r="E24" s="125">
        <f>'Salary DATA'!CE25</f>
        <v>76221.662012852117</v>
      </c>
      <c r="F24" s="125">
        <f>'Salary DATA'!DC25</f>
        <v>65776.767740275769</v>
      </c>
      <c r="G24" s="125">
        <f>'Salary DATA'!EA25</f>
        <v>45334.801016849015</v>
      </c>
      <c r="H24" s="288">
        <f>(('Salary DATA'!AI25-'Salary DATA'!AH25)/'Salary DATA'!AH25)*100</f>
        <v>-0.3727108973197053</v>
      </c>
      <c r="I24" s="127">
        <f>(('Salary DATA'!BG25-'Salary DATA'!BF25)/'Salary DATA'!BF25)*100</f>
        <v>0.59133035740300377</v>
      </c>
      <c r="J24" s="237">
        <f>(('Salary DATA'!CE25-'Salary DATA'!CD25)/'Salary DATA'!CD25)*100</f>
        <v>0.10213532134720266</v>
      </c>
      <c r="K24" s="129">
        <f>(('Salary DATA'!DC25-'Salary DATA'!DB25)/'Salary DATA'!DB25)*100</f>
        <v>-0.88128556140176884</v>
      </c>
      <c r="L24" s="243">
        <f>(('Salary DATA'!EA25-'Salary DATA'!DZ25)/'Salary DATA'!DZ25)*100</f>
        <v>1.3453174954036873</v>
      </c>
    </row>
    <row r="25" spans="1:12">
      <c r="A25" s="141" t="s">
        <v>59</v>
      </c>
      <c r="B25" s="141"/>
      <c r="C25" s="125">
        <f>'Salary DATA'!AI26</f>
        <v>80471.193759384754</v>
      </c>
      <c r="D25" s="235">
        <f>'Salary DATA'!BG26</f>
        <v>111377.68054619484</v>
      </c>
      <c r="E25" s="125">
        <f>'Salary DATA'!CE26</f>
        <v>77705.375201826842</v>
      </c>
      <c r="F25" s="125">
        <f>'Salary DATA'!DC26</f>
        <v>64669.136509969787</v>
      </c>
      <c r="G25" s="125">
        <f>'Salary DATA'!EA26</f>
        <v>48173.439396909496</v>
      </c>
      <c r="H25" s="288">
        <f>(('Salary DATA'!AI26-'Salary DATA'!AH26)/'Salary DATA'!AH26)*100</f>
        <v>-0.221810861556928</v>
      </c>
      <c r="I25" s="127">
        <f>(('Salary DATA'!BG26-'Salary DATA'!BF26)/'Salary DATA'!BF26)*100</f>
        <v>0.37493265545505872</v>
      </c>
      <c r="J25" s="237">
        <f>(('Salary DATA'!CE26-'Salary DATA'!CD26)/'Salary DATA'!CD26)*100</f>
        <v>-0.48882584394479706</v>
      </c>
      <c r="K25" s="129">
        <f>(('Salary DATA'!DC26-'Salary DATA'!DB26)/'Salary DATA'!DB26)*100</f>
        <v>0.12097049031105325</v>
      </c>
      <c r="L25" s="243">
        <f>(('Salary DATA'!EA26-'Salary DATA'!DZ26)/'Salary DATA'!DZ26)*100</f>
        <v>-0.37603655323527557</v>
      </c>
    </row>
    <row r="26" spans="1:12">
      <c r="A26" s="145" t="s">
        <v>60</v>
      </c>
      <c r="B26" s="145"/>
      <c r="C26" s="87">
        <f>'Salary DATA'!AI27</f>
        <v>65285.464099351499</v>
      </c>
      <c r="D26" s="245">
        <f>'Salary DATA'!BG27</f>
        <v>85025.979041260754</v>
      </c>
      <c r="E26" s="87">
        <f>'Salary DATA'!CE27</f>
        <v>65758.364294897954</v>
      </c>
      <c r="F26" s="87">
        <f>'Salary DATA'!DC27</f>
        <v>54871.529626429481</v>
      </c>
      <c r="G26" s="87">
        <f>'Salary DATA'!EA27</f>
        <v>39138.409138947369</v>
      </c>
      <c r="H26" s="287">
        <f>(('Salary DATA'!AI27-'Salary DATA'!AH27)/'Salary DATA'!AH27)*100</f>
        <v>0.5561455327842435</v>
      </c>
      <c r="I26" s="122">
        <f>(('Salary DATA'!BG27-'Salary DATA'!BF27)/'Salary DATA'!BF27)*100</f>
        <v>0.25457901910791236</v>
      </c>
      <c r="J26" s="234">
        <f>(('Salary DATA'!CE27-'Salary DATA'!CD27)/'Salary DATA'!CD27)*100</f>
        <v>1.0813048099393441</v>
      </c>
      <c r="K26" s="124">
        <f>(('Salary DATA'!DC27-'Salary DATA'!DB27)/'Salary DATA'!DB27)*100</f>
        <v>1.7530550873865756</v>
      </c>
      <c r="L26" s="246">
        <f>(('Salary DATA'!EA27-'Salary DATA'!DZ27)/'Salary DATA'!DZ27)*100</f>
        <v>-1.0945064336725219</v>
      </c>
    </row>
    <row r="27" spans="1:12">
      <c r="A27" s="61" t="s">
        <v>108</v>
      </c>
      <c r="B27" s="61"/>
      <c r="C27" s="148">
        <f>'Salary DATA'!AI7</f>
        <v>82169.96105313547</v>
      </c>
      <c r="D27" s="247">
        <f>'Salary DATA'!BG7</f>
        <v>107997.0357384032</v>
      </c>
      <c r="E27" s="148">
        <f>'Salary DATA'!CE7</f>
        <v>76942.070440351017</v>
      </c>
      <c r="F27" s="148">
        <f>'Salary DATA'!DC7</f>
        <v>66588.083276157806</v>
      </c>
      <c r="G27" s="148">
        <f>'Salary DATA'!EA7</f>
        <v>45191.177918424757</v>
      </c>
      <c r="H27" s="291">
        <f>(('Salary DATA'!AI7-'Salary DATA'!AH7)/'Salary DATA'!AH7)*100</f>
        <v>0.34108459264423441</v>
      </c>
      <c r="I27" s="127">
        <f>(('Salary DATA'!BG7-'Salary DATA'!BF7)/'Salary DATA'!BF7)*100</f>
        <v>0.13492458939655963</v>
      </c>
      <c r="J27" s="237">
        <f>(('Salary DATA'!CE7-'Salary DATA'!CD7)/'Salary DATA'!CD7)*100</f>
        <v>0.32225401944959392</v>
      </c>
      <c r="K27" s="150">
        <f>(('Salary DATA'!DC7-'Salary DATA'!DB7)/'Salary DATA'!DB7)*100</f>
        <v>0.37981049884521056</v>
      </c>
      <c r="L27" s="238">
        <f>(('Salary DATA'!EA7-'Salary DATA'!DZ7)/'Salary DATA'!DZ7)*100</f>
        <v>-0.16380523057077118</v>
      </c>
    </row>
    <row r="28" spans="1:12">
      <c r="A28" s="61" t="s">
        <v>8</v>
      </c>
      <c r="B28" s="61"/>
      <c r="C28" s="239">
        <f>(C27/$C$8)*100</f>
        <v>105.43182953920196</v>
      </c>
      <c r="D28" s="236">
        <f>(D27/$D$8)*100</f>
        <v>101.44269573977324</v>
      </c>
      <c r="E28" s="239">
        <f>(E27/$E$8)*100</f>
        <v>100.49334644684814</v>
      </c>
      <c r="F28" s="239">
        <f>(F27/$F$8)*100</f>
        <v>102.92926015312543</v>
      </c>
      <c r="G28" s="239">
        <f>(G27/$G$8)*100</f>
        <v>100.90196419065833</v>
      </c>
      <c r="H28" s="289"/>
      <c r="I28" s="127"/>
      <c r="J28" s="237"/>
      <c r="K28" s="150"/>
      <c r="L28" s="238"/>
    </row>
    <row r="29" spans="1:12">
      <c r="A29" s="151" t="s">
        <v>109</v>
      </c>
      <c r="B29" s="152"/>
      <c r="C29" s="133">
        <f>'Salary DATA'!AI29</f>
        <v>73331.529636711275</v>
      </c>
      <c r="D29" s="240">
        <f>'Salary DATA'!BG29</f>
        <v>98092.526829268289</v>
      </c>
      <c r="E29" s="133">
        <f>'Salary DATA'!CE29</f>
        <v>75972.300341296926</v>
      </c>
      <c r="F29" s="133">
        <f>'Salary DATA'!DC29</f>
        <v>64424.296460176993</v>
      </c>
      <c r="G29" s="133">
        <f>'Salary DATA'!EA29</f>
        <v>53543.285714285717</v>
      </c>
      <c r="H29" s="290">
        <f>(('Salary DATA'!AI29-'Salary DATA'!AH29)/'Salary DATA'!AH29)*100</f>
        <v>2.4796147498641332</v>
      </c>
      <c r="I29" s="135">
        <f>(('Salary DATA'!BG29-'Salary DATA'!BF29)/'Salary DATA'!BF29)*100</f>
        <v>1.1318663025406166</v>
      </c>
      <c r="J29" s="241">
        <f>(('Salary DATA'!CE29-'Salary DATA'!CD29)/'Salary DATA'!CD29)*100</f>
        <v>2.1624590529667231</v>
      </c>
      <c r="K29" s="137">
        <f>(('Salary DATA'!DC29-'Salary DATA'!DB29)/'Salary DATA'!DB29)*100</f>
        <v>3.1459145965080446</v>
      </c>
      <c r="L29" s="248">
        <f>(('Salary DATA'!EA29-'Salary DATA'!DZ29)/'Salary DATA'!DZ29)*100</f>
        <v>2.9841123773782594</v>
      </c>
    </row>
    <row r="30" spans="1:12">
      <c r="A30" s="132" t="s">
        <v>110</v>
      </c>
      <c r="B30" s="132"/>
      <c r="C30" s="153">
        <f>'Salary DATA'!AI30</f>
        <v>83614.186661073822</v>
      </c>
      <c r="D30" s="249">
        <f>'Salary DATA'!BG30</f>
        <v>115104.7838494232</v>
      </c>
      <c r="E30" s="153">
        <f>'Salary DATA'!CE30</f>
        <v>80602.83043837882</v>
      </c>
      <c r="F30" s="153">
        <f>'Salary DATA'!DC30</f>
        <v>68393.025150905436</v>
      </c>
      <c r="G30" s="153">
        <f>'Salary DATA'!EA30</f>
        <v>37344.649305555555</v>
      </c>
      <c r="H30" s="292">
        <f>(('Salary DATA'!AI30-'Salary DATA'!AH30)/'Salary DATA'!AH30)*100</f>
        <v>0.82617003715362669</v>
      </c>
      <c r="I30" s="135">
        <f>(('Salary DATA'!BG30-'Salary DATA'!BF30)/'Salary DATA'!BF30)*100</f>
        <v>1.4252935144663743</v>
      </c>
      <c r="J30" s="241">
        <f>(('Salary DATA'!CE30-'Salary DATA'!CD30)/'Salary DATA'!CD30)*100</f>
        <v>2.7805973305192468</v>
      </c>
      <c r="K30" s="155">
        <f>(('Salary DATA'!DC30-'Salary DATA'!DB30)/'Salary DATA'!DB30)*100</f>
        <v>1.7966935876542331</v>
      </c>
      <c r="L30" s="242">
        <f>(('Salary DATA'!EA30-'Salary DATA'!DZ30)/'Salary DATA'!DZ30)*100</f>
        <v>5.5821350387631705</v>
      </c>
    </row>
    <row r="31" spans="1:12">
      <c r="A31" s="132" t="s">
        <v>111</v>
      </c>
      <c r="B31" s="132"/>
      <c r="C31" s="153">
        <f>'Salary DATA'!AI31</f>
        <v>92820.535229569738</v>
      </c>
      <c r="D31" s="249">
        <f>'Salary DATA'!BG31</f>
        <v>116141.84052770448</v>
      </c>
      <c r="E31" s="153">
        <f>'Salary DATA'!CE31</f>
        <v>80915.251848532382</v>
      </c>
      <c r="F31" s="153">
        <f>'Salary DATA'!DC31</f>
        <v>71826.56236052567</v>
      </c>
      <c r="G31" s="153">
        <f>'Salary DATA'!EA31</f>
        <v>55621.714285714283</v>
      </c>
      <c r="H31" s="292">
        <f>(('Salary DATA'!AI31-'Salary DATA'!AH31)/'Salary DATA'!AH31)*100</f>
        <v>0.10705748587505988</v>
      </c>
      <c r="I31" s="135">
        <f>(('Salary DATA'!BG31-'Salary DATA'!BF31)/'Salary DATA'!BF31)*100</f>
        <v>-0.29168769086681628</v>
      </c>
      <c r="J31" s="241">
        <f>(('Salary DATA'!CE31-'Salary DATA'!CD31)/'Salary DATA'!CD31)*100</f>
        <v>0.31036422382566647</v>
      </c>
      <c r="K31" s="155">
        <f>(('Salary DATA'!DC31-'Salary DATA'!DB31)/'Salary DATA'!DB31)*100</f>
        <v>0.27984834453033719</v>
      </c>
      <c r="L31" s="242">
        <f>(('Salary DATA'!EA31-'Salary DATA'!DZ31)/'Salary DATA'!DZ31)*100</f>
        <v>21.929313616805391</v>
      </c>
    </row>
    <row r="32" spans="1:12">
      <c r="A32" s="132" t="s">
        <v>112</v>
      </c>
      <c r="B32" s="132"/>
      <c r="C32" s="153">
        <f>'Salary DATA'!AI32</f>
        <v>73149.588449626521</v>
      </c>
      <c r="D32" s="249">
        <f>'Salary DATA'!BG32</f>
        <v>99247.720606826799</v>
      </c>
      <c r="E32" s="153">
        <f>'Salary DATA'!CE32</f>
        <v>77369.3714063714</v>
      </c>
      <c r="F32" s="153">
        <f>'Salary DATA'!DC32</f>
        <v>62478.94261766602</v>
      </c>
      <c r="G32" s="153">
        <f>'Salary DATA'!EA32</f>
        <v>46291.673728813563</v>
      </c>
      <c r="H32" s="292">
        <f>(('Salary DATA'!AI32-'Salary DATA'!AH32)/'Salary DATA'!AH32)*100</f>
        <v>0.18586947660322867</v>
      </c>
      <c r="I32" s="135">
        <f>(('Salary DATA'!BG32-'Salary DATA'!BF32)/'Salary DATA'!BF32)*100</f>
        <v>-0.27823163006812829</v>
      </c>
      <c r="J32" s="241">
        <f>(('Salary DATA'!CE32-'Salary DATA'!CD32)/'Salary DATA'!CD32)*100</f>
        <v>-0.56913478011216656</v>
      </c>
      <c r="K32" s="155">
        <f>(('Salary DATA'!DC32-'Salary DATA'!DB32)/'Salary DATA'!DB32)*100</f>
        <v>0.49260836149472964</v>
      </c>
      <c r="L32" s="242">
        <f>(('Salary DATA'!EA32-'Salary DATA'!DZ32)/'Salary DATA'!DZ32)*100</f>
        <v>1.4936781986258134</v>
      </c>
    </row>
    <row r="33" spans="1:12">
      <c r="A33" s="141" t="s">
        <v>113</v>
      </c>
      <c r="B33" s="141"/>
      <c r="C33" s="148">
        <f>'Salary DATA'!AI33</f>
        <v>83192.468588322241</v>
      </c>
      <c r="D33" s="247">
        <f>'Salary DATA'!BG33</f>
        <v>103951.42300194931</v>
      </c>
      <c r="E33" s="148">
        <f>'Salary DATA'!CE33</f>
        <v>79413.056022408957</v>
      </c>
      <c r="F33" s="148">
        <f>'Salary DATA'!DC33</f>
        <v>67741.838616714696</v>
      </c>
      <c r="G33" s="148">
        <f>'Salary DATA'!EA33</f>
        <v>54231.257352941175</v>
      </c>
      <c r="H33" s="291">
        <f>(('Salary DATA'!AI33-'Salary DATA'!AH33)/'Salary DATA'!AH33)*100</f>
        <v>-6.8656555245606485</v>
      </c>
      <c r="I33" s="127">
        <f>(('Salary DATA'!BG33-'Salary DATA'!BF33)/'Salary DATA'!BF33)*100</f>
        <v>-6.3715385886917622</v>
      </c>
      <c r="J33" s="237">
        <f>(('Salary DATA'!CE33-'Salary DATA'!CD33)/'Salary DATA'!CD33)*100</f>
        <v>-6.6845777123625378</v>
      </c>
      <c r="K33" s="150">
        <f>(('Salary DATA'!DC33-'Salary DATA'!DB33)/'Salary DATA'!DB33)*100</f>
        <v>-6.8764172828688093</v>
      </c>
      <c r="L33" s="243">
        <f>(('Salary DATA'!EA33-'Salary DATA'!DZ33)/'Salary DATA'!DZ33)*100</f>
        <v>-5.9678337929261218</v>
      </c>
    </row>
    <row r="34" spans="1:12">
      <c r="A34" s="141" t="s">
        <v>114</v>
      </c>
      <c r="B34" s="141"/>
      <c r="C34" s="148">
        <f>'Salary DATA'!AI34</f>
        <v>61481.463572584995</v>
      </c>
      <c r="D34" s="247">
        <f>'Salary DATA'!BG34</f>
        <v>80083.108928571426</v>
      </c>
      <c r="E34" s="148">
        <f>'Salary DATA'!CE34</f>
        <v>62700.475054229937</v>
      </c>
      <c r="F34" s="148">
        <f>'Salary DATA'!DC34</f>
        <v>54650.846330275228</v>
      </c>
      <c r="G34" s="148">
        <f>'Salary DATA'!EA34</f>
        <v>42920.894736842107</v>
      </c>
      <c r="H34" s="291">
        <f>(('Salary DATA'!AI34-'Salary DATA'!AH34)/'Salary DATA'!AH34)*100</f>
        <v>-0.18792449863709165</v>
      </c>
      <c r="I34" s="127">
        <f>(('Salary DATA'!BG34-'Salary DATA'!BF34)/'Salary DATA'!BF34)*100</f>
        <v>-0.1414870632643693</v>
      </c>
      <c r="J34" s="237">
        <f>(('Salary DATA'!CE34-'Salary DATA'!CD34)/'Salary DATA'!CD34)*100</f>
        <v>-1.2830440372139535</v>
      </c>
      <c r="K34" s="150">
        <f>(('Salary DATA'!DC34-'Salary DATA'!DB34)/'Salary DATA'!DB34)*100</f>
        <v>2.8121117318074651E-2</v>
      </c>
      <c r="L34" s="243">
        <f>(('Salary DATA'!EA34-'Salary DATA'!DZ34)/'Salary DATA'!DZ34)*100</f>
        <v>-0.86548110883908402</v>
      </c>
    </row>
    <row r="35" spans="1:12">
      <c r="A35" s="141" t="s">
        <v>115</v>
      </c>
      <c r="B35" s="141"/>
      <c r="C35" s="148">
        <f>'Salary DATA'!AI35</f>
        <v>61264.366373902136</v>
      </c>
      <c r="D35" s="247">
        <f>'Salary DATA'!BG35</f>
        <v>77925.312127236582</v>
      </c>
      <c r="E35" s="148">
        <f>'Salary DATA'!CE35</f>
        <v>62154.722797927461</v>
      </c>
      <c r="F35" s="148">
        <f>'Salary DATA'!DC35</f>
        <v>54508.255494505494</v>
      </c>
      <c r="G35" s="148">
        <f>'Salary DATA'!EA35</f>
        <v>42301.933673469386</v>
      </c>
      <c r="H35" s="291">
        <f>(('Salary DATA'!AI35-'Salary DATA'!AH35)/'Salary DATA'!AH35)*100</f>
        <v>-1.056575892580513E-2</v>
      </c>
      <c r="I35" s="127">
        <f>(('Salary DATA'!BG35-'Salary DATA'!BF35)/'Salary DATA'!BF35)*100</f>
        <v>-0.10394813420172216</v>
      </c>
      <c r="J35" s="237">
        <f>(('Salary DATA'!CE35-'Salary DATA'!CD35)/'Salary DATA'!CD35)*100</f>
        <v>-0.17571968428126214</v>
      </c>
      <c r="K35" s="150">
        <f>(('Salary DATA'!DC35-'Salary DATA'!DB35)/'Salary DATA'!DB35)*100</f>
        <v>-1.5102151061432694</v>
      </c>
      <c r="L35" s="243">
        <f>(('Salary DATA'!EA35-'Salary DATA'!DZ35)/'Salary DATA'!DZ35)*100</f>
        <v>-4.2017299329279449</v>
      </c>
    </row>
    <row r="36" spans="1:12">
      <c r="A36" s="141" t="s">
        <v>116</v>
      </c>
      <c r="B36" s="141"/>
      <c r="C36" s="148">
        <f>'Salary DATA'!AI36</f>
        <v>89272.390759075904</v>
      </c>
      <c r="D36" s="247">
        <f>'Salary DATA'!BG36</f>
        <v>119859.852494577</v>
      </c>
      <c r="E36" s="148">
        <f>'Salary DATA'!CE36</f>
        <v>87115.964636542238</v>
      </c>
      <c r="F36" s="148">
        <f>'Salary DATA'!DC36</f>
        <v>69580.244680851058</v>
      </c>
      <c r="G36" s="148">
        <f>'Salary DATA'!EA36</f>
        <v>55809.827160493827</v>
      </c>
      <c r="H36" s="291">
        <f>(('Salary DATA'!AI36-'Salary DATA'!AH36)/'Salary DATA'!AH36)*100</f>
        <v>-6.4738653570216798E-2</v>
      </c>
      <c r="I36" s="127">
        <f>(('Salary DATA'!BG36-'Salary DATA'!BF36)/'Salary DATA'!BF36)*100</f>
        <v>-0.6918274075375993</v>
      </c>
      <c r="J36" s="237">
        <f>(('Salary DATA'!CE36-'Salary DATA'!CD36)/'Salary DATA'!CD36)*100</f>
        <v>-1.5334128437436174</v>
      </c>
      <c r="K36" s="150">
        <f>(('Salary DATA'!DC36-'Salary DATA'!DB36)/'Salary DATA'!DB36)*100</f>
        <v>-1.3484279859826764</v>
      </c>
      <c r="L36" s="243">
        <f>(('Salary DATA'!EA36-'Salary DATA'!DZ36)/'Salary DATA'!DZ36)*100</f>
        <v>-1.8251095807816167</v>
      </c>
    </row>
    <row r="37" spans="1:12">
      <c r="A37" s="144" t="s">
        <v>117</v>
      </c>
      <c r="B37" s="144"/>
      <c r="C37" s="153">
        <f>'Salary DATA'!AI37</f>
        <v>70629.767790262165</v>
      </c>
      <c r="D37" s="249">
        <f>'Salary DATA'!BG37</f>
        <v>89442.17176128093</v>
      </c>
      <c r="E37" s="153">
        <f>'Salary DATA'!CE37</f>
        <v>68980.278026905828</v>
      </c>
      <c r="F37" s="153">
        <f>'Salary DATA'!DC37</f>
        <v>58265.21146953405</v>
      </c>
      <c r="G37" s="153">
        <f>'Salary DATA'!EA37</f>
        <v>42032.289473684214</v>
      </c>
      <c r="H37" s="292">
        <f>(('Salary DATA'!AI37-'Salary DATA'!AH37)/'Salary DATA'!AH37)*100</f>
        <v>0.1080026902103678</v>
      </c>
      <c r="I37" s="135">
        <f>(('Salary DATA'!BG37-'Salary DATA'!BF37)/'Salary DATA'!BF37)*100</f>
        <v>-0.723353924842844</v>
      </c>
      <c r="J37" s="241">
        <f>(('Salary DATA'!CE37-'Salary DATA'!CD37)/'Salary DATA'!CD37)*100</f>
        <v>8.1329094709888042E-2</v>
      </c>
      <c r="K37" s="155">
        <f>(('Salary DATA'!DC37-'Salary DATA'!DB37)/'Salary DATA'!DB37)*100</f>
        <v>1.0625359754341982E-2</v>
      </c>
      <c r="L37" s="244">
        <f>(('Salary DATA'!EA37-'Salary DATA'!DZ37)/'Salary DATA'!DZ37)*100</f>
        <v>-0.43039402482505928</v>
      </c>
    </row>
    <row r="38" spans="1:12">
      <c r="A38" s="144" t="s">
        <v>118</v>
      </c>
      <c r="B38" s="144"/>
      <c r="C38" s="153">
        <f>'Salary DATA'!AI38</f>
        <v>69533.689003436433</v>
      </c>
      <c r="D38" s="249">
        <f>'Salary DATA'!BG38</f>
        <v>90907.392065344218</v>
      </c>
      <c r="E38" s="153">
        <f>'Salary DATA'!CE38</f>
        <v>70970.36045056321</v>
      </c>
      <c r="F38" s="153">
        <f>'Salary DATA'!DC38</f>
        <v>62520.167441860467</v>
      </c>
      <c r="G38" s="153">
        <f>'Salary DATA'!EA38</f>
        <v>43297.895985401461</v>
      </c>
      <c r="H38" s="292">
        <f>(('Salary DATA'!AI38-'Salary DATA'!AH38)/'Salary DATA'!AH38)*100</f>
        <v>-6.0869696978572363E-2</v>
      </c>
      <c r="I38" s="135">
        <f>(('Salary DATA'!BG38-'Salary DATA'!BF38)/'Salary DATA'!BF38)*100</f>
        <v>0.61597408602346482</v>
      </c>
      <c r="J38" s="241">
        <f>(('Salary DATA'!CE38-'Salary DATA'!CD38)/'Salary DATA'!CD38)*100</f>
        <v>1.0250844819998339</v>
      </c>
      <c r="K38" s="155">
        <f>(('Salary DATA'!DC38-'Salary DATA'!DB38)/'Salary DATA'!DB38)*100</f>
        <v>0.4865215933677583</v>
      </c>
      <c r="L38" s="244">
        <f>(('Salary DATA'!EA38-'Salary DATA'!DZ38)/'Salary DATA'!DZ38)*100</f>
        <v>-9.2976864853528421E-2</v>
      </c>
    </row>
    <row r="39" spans="1:12">
      <c r="A39" s="144" t="s">
        <v>119</v>
      </c>
      <c r="B39" s="144"/>
      <c r="C39" s="153">
        <f>'Salary DATA'!AI39</f>
        <v>71573.113366645848</v>
      </c>
      <c r="D39" s="249">
        <f>'Salary DATA'!BG39</f>
        <v>95639.009523809524</v>
      </c>
      <c r="E39" s="153">
        <f>'Salary DATA'!CE39</f>
        <v>69629.244212962964</v>
      </c>
      <c r="F39" s="153">
        <f>'Salary DATA'!DC39</f>
        <v>61589.905660377357</v>
      </c>
      <c r="G39" s="153">
        <f>'Salary DATA'!EA39</f>
        <v>43508.340206185567</v>
      </c>
      <c r="H39" s="292">
        <f>(('Salary DATA'!AI39-'Salary DATA'!AH39)/'Salary DATA'!AH39)*100</f>
        <v>3.187499591134848</v>
      </c>
      <c r="I39" s="135">
        <f>(('Salary DATA'!BG39-'Salary DATA'!BF39)/'Salary DATA'!BF39)*100</f>
        <v>4.5770530096183144</v>
      </c>
      <c r="J39" s="241">
        <f>(('Salary DATA'!CE39-'Salary DATA'!CD39)/'Salary DATA'!CD39)*100</f>
        <v>2.3743713085046312</v>
      </c>
      <c r="K39" s="155">
        <f>(('Salary DATA'!DC39-'Salary DATA'!DB39)/'Salary DATA'!DB39)*100</f>
        <v>2.1311550047332153</v>
      </c>
      <c r="L39" s="244">
        <f>(('Salary DATA'!EA39-'Salary DATA'!DZ39)/'Salary DATA'!DZ39)*100</f>
        <v>-4.9702220448121519</v>
      </c>
    </row>
    <row r="40" spans="1:12">
      <c r="A40" s="144" t="s">
        <v>120</v>
      </c>
      <c r="B40" s="144"/>
      <c r="C40" s="153">
        <f>'Salary DATA'!AI40</f>
        <v>79645.351993389791</v>
      </c>
      <c r="D40" s="249">
        <f>'Salary DATA'!BG40</f>
        <v>104019.65103189493</v>
      </c>
      <c r="E40" s="153">
        <f>'Salary DATA'!CE40</f>
        <v>77271.84521739131</v>
      </c>
      <c r="F40" s="153">
        <f>'Salary DATA'!DC40</f>
        <v>70047.344129554651</v>
      </c>
      <c r="G40" s="153">
        <f>'Salary DATA'!EA40</f>
        <v>47997.729613733907</v>
      </c>
      <c r="H40" s="292">
        <f>(('Salary DATA'!AI40-'Salary DATA'!AH40)/'Salary DATA'!AH40)*100</f>
        <v>4.9023940458827235E-2</v>
      </c>
      <c r="I40" s="135">
        <f>(('Salary DATA'!BG40-'Salary DATA'!BF40)/'Salary DATA'!BF40)*100</f>
        <v>0.19489909980440973</v>
      </c>
      <c r="J40" s="241">
        <f>(('Salary DATA'!CE40-'Salary DATA'!CD40)/'Salary DATA'!CD40)*100</f>
        <v>-0.30089668968980132</v>
      </c>
      <c r="K40" s="155">
        <f>(('Salary DATA'!DC40-'Salary DATA'!DB40)/'Salary DATA'!DB40)*100</f>
        <v>2.5148881462092194</v>
      </c>
      <c r="L40" s="244">
        <f>(('Salary DATA'!EA40-'Salary DATA'!DZ40)/'Salary DATA'!DZ40)*100</f>
        <v>2.3167234324506474</v>
      </c>
    </row>
    <row r="41" spans="1:12">
      <c r="A41" s="156" t="s">
        <v>121</v>
      </c>
      <c r="B41" s="156"/>
      <c r="C41" s="157">
        <f>'Salary DATA'!AI41</f>
        <v>79013.122972972968</v>
      </c>
      <c r="D41" s="250">
        <f>'Salary DATA'!BG41</f>
        <v>107024.96313364056</v>
      </c>
      <c r="E41" s="157">
        <f>'Salary DATA'!CE41</f>
        <v>76078.470297029708</v>
      </c>
      <c r="F41" s="157">
        <f>'Salary DATA'!DC41</f>
        <v>66964.885057471271</v>
      </c>
      <c r="G41" s="157">
        <f>'Salary DATA'!EA41</f>
        <v>72720</v>
      </c>
      <c r="H41" s="293">
        <f>(('Salary DATA'!AI41-'Salary DATA'!AH41)/'Salary DATA'!AH41)*100</f>
        <v>9.093065317367803E-2</v>
      </c>
      <c r="I41" s="159">
        <f>(('Salary DATA'!BG41-'Salary DATA'!BF41)/'Salary DATA'!BF41)*100</f>
        <v>0.61526085527360319</v>
      </c>
      <c r="J41" s="251">
        <f>(('Salary DATA'!CE41-'Salary DATA'!CD41)/'Salary DATA'!CD41)*100</f>
        <v>-0.52608655911280533</v>
      </c>
      <c r="K41" s="252">
        <f>(('Salary DATA'!DC41-'Salary DATA'!DB41)/'Salary DATA'!DB41)*100</f>
        <v>-1.7014529349910719</v>
      </c>
      <c r="L41" s="253">
        <f>(('Salary DATA'!EA41-'Salary DATA'!DZ41)/'Salary DATA'!DZ41)*100</f>
        <v>23.12902133423637</v>
      </c>
    </row>
    <row r="42" spans="1:12">
      <c r="A42" s="61" t="s">
        <v>122</v>
      </c>
      <c r="B42" s="61"/>
      <c r="C42" s="164">
        <f>'Salary DATA'!AI8</f>
        <v>76278.133150268754</v>
      </c>
      <c r="D42" s="254">
        <f>'Salary DATA'!BG8</f>
        <v>104455.74397732641</v>
      </c>
      <c r="E42" s="164">
        <f>'Salary DATA'!CE8</f>
        <v>74868.011177666063</v>
      </c>
      <c r="F42" s="164">
        <f>'Salary DATA'!DC8</f>
        <v>64233.57193389388</v>
      </c>
      <c r="G42" s="164">
        <f>'Salary DATA'!EA8</f>
        <v>42362.558868335145</v>
      </c>
      <c r="H42" s="294">
        <f>(('Salary DATA'!AI8-'Salary DATA'!AH8)/'Salary DATA'!AH8)*100</f>
        <v>1.3467740802680701</v>
      </c>
      <c r="I42" s="127">
        <f>(('Salary DATA'!BG8-'Salary DATA'!BF8)/'Salary DATA'!BF8)*100</f>
        <v>1.291690045341048</v>
      </c>
      <c r="J42" s="237">
        <f>(('Salary DATA'!CE8-'Salary DATA'!CD8)/'Salary DATA'!CD8)*100</f>
        <v>1.2405298458450131</v>
      </c>
      <c r="K42" s="150">
        <f>(('Salary DATA'!DC8-'Salary DATA'!DB8)/'Salary DATA'!DB8)*100</f>
        <v>1.8609935850615358</v>
      </c>
      <c r="L42" s="238">
        <f>(('Salary DATA'!EA8-'Salary DATA'!DZ8)/'Salary DATA'!DZ8)*100</f>
        <v>0.29375936311380024</v>
      </c>
    </row>
    <row r="43" spans="1:12">
      <c r="A43" s="61" t="s">
        <v>8</v>
      </c>
      <c r="B43" s="61"/>
      <c r="C43" s="239">
        <f>(C42/$C$8)*100</f>
        <v>97.872057243244996</v>
      </c>
      <c r="D43" s="236">
        <f>(D42/$D$8)*100</f>
        <v>98.116324972386209</v>
      </c>
      <c r="E43" s="239">
        <f>(E42/$E$8)*100</f>
        <v>97.784436290890255</v>
      </c>
      <c r="F43" s="239">
        <f>(F42/$F$8)*100</f>
        <v>99.289748418326141</v>
      </c>
      <c r="G43" s="239">
        <f>(G42/$G$8)*100</f>
        <v>94.58627977507706</v>
      </c>
      <c r="H43" s="294"/>
      <c r="I43" s="127"/>
      <c r="J43" s="237"/>
      <c r="K43" s="150"/>
      <c r="L43" s="238"/>
    </row>
    <row r="44" spans="1:12">
      <c r="A44" s="132" t="s">
        <v>123</v>
      </c>
      <c r="B44" s="132"/>
      <c r="C44" s="153">
        <f>'Salary DATA'!AI43</f>
        <v>76072.56918798665</v>
      </c>
      <c r="D44" s="249">
        <f>'Salary DATA'!BG43</f>
        <v>107000.03609678699</v>
      </c>
      <c r="E44" s="153">
        <f>'Salary DATA'!CE43</f>
        <v>75240.921977124177</v>
      </c>
      <c r="F44" s="153">
        <f>'Salary DATA'!DC43</f>
        <v>67508.818529536758</v>
      </c>
      <c r="G44" s="153">
        <f>'Salary DATA'!EA43</f>
        <v>40554.894263217095</v>
      </c>
      <c r="H44" s="292">
        <f>(('Salary DATA'!AI43-'Salary DATA'!AH43)/'Salary DATA'!AH43)*100</f>
        <v>1.1826768085325519</v>
      </c>
      <c r="I44" s="135">
        <f>(('Salary DATA'!BG43-'Salary DATA'!BF43)/'Salary DATA'!BF43)*100</f>
        <v>1.2821435678557893</v>
      </c>
      <c r="J44" s="241">
        <f>(('Salary DATA'!CE43-'Salary DATA'!CD43)/'Salary DATA'!CD43)*100</f>
        <v>0.52707926349611856</v>
      </c>
      <c r="K44" s="155">
        <f>(('Salary DATA'!DC43-'Salary DATA'!DB43)/'Salary DATA'!DB43)*100</f>
        <v>2.4785159354294288</v>
      </c>
      <c r="L44" s="242">
        <f>(('Salary DATA'!EA43-'Salary DATA'!DZ43)/'Salary DATA'!DZ43)*100</f>
        <v>-0.86146398455519724</v>
      </c>
    </row>
    <row r="45" spans="1:12">
      <c r="A45" s="132" t="s">
        <v>124</v>
      </c>
      <c r="B45" s="132"/>
      <c r="C45" s="153">
        <f>'Salary DATA'!AI44</f>
        <v>75589.61386138614</v>
      </c>
      <c r="D45" s="249">
        <f>'Salary DATA'!BG44</f>
        <v>107872.68176047398</v>
      </c>
      <c r="E45" s="153">
        <f>'Salary DATA'!CE44</f>
        <v>74456.393170281488</v>
      </c>
      <c r="F45" s="153">
        <f>'Salary DATA'!DC44</f>
        <v>64684.931546194348</v>
      </c>
      <c r="G45" s="153">
        <f>'Salary DATA'!EA44</f>
        <v>43639.887955182072</v>
      </c>
      <c r="H45" s="292">
        <f>(('Salary DATA'!AI44-'Salary DATA'!AH44)/'Salary DATA'!AH44)*100</f>
        <v>3.111032052352241</v>
      </c>
      <c r="I45" s="135">
        <f>(('Salary DATA'!BG44-'Salary DATA'!BF44)/'Salary DATA'!BF44)*100</f>
        <v>3.1807955063267883</v>
      </c>
      <c r="J45" s="241">
        <f>(('Salary DATA'!CE44-'Salary DATA'!CD44)/'Salary DATA'!CD44)*100</f>
        <v>2.7725313688662214</v>
      </c>
      <c r="K45" s="155">
        <f>(('Salary DATA'!DC44-'Salary DATA'!DB44)/'Salary DATA'!DB44)*100</f>
        <v>3.2490654440696507</v>
      </c>
      <c r="L45" s="242">
        <f>(('Salary DATA'!EA44-'Salary DATA'!DZ44)/'Salary DATA'!DZ44)*100</f>
        <v>4.5590815822384814</v>
      </c>
    </row>
    <row r="46" spans="1:12">
      <c r="A46" s="132" t="s">
        <v>125</v>
      </c>
      <c r="B46" s="132"/>
      <c r="C46" s="153">
        <f>'Salary DATA'!AI45</f>
        <v>85953.605691056917</v>
      </c>
      <c r="D46" s="249">
        <f>'Salary DATA'!BG45</f>
        <v>115079.99368800722</v>
      </c>
      <c r="E46" s="153">
        <f>'Salary DATA'!CE45</f>
        <v>80268.806588735388</v>
      </c>
      <c r="F46" s="153">
        <f>'Salary DATA'!DC45</f>
        <v>70268.618513323978</v>
      </c>
      <c r="G46" s="153">
        <f>'Salary DATA'!EA45</f>
        <v>40096.496855345911</v>
      </c>
      <c r="H46" s="292">
        <f>(('Salary DATA'!AI45-'Salary DATA'!AH45)/'Salary DATA'!AH45)*100</f>
        <v>2.117040865681985</v>
      </c>
      <c r="I46" s="135">
        <f>(('Salary DATA'!BG45-'Salary DATA'!BF45)/'Salary DATA'!BF45)*100</f>
        <v>2.3042482952093648</v>
      </c>
      <c r="J46" s="241">
        <f>(('Salary DATA'!CE45-'Salary DATA'!CD45)/'Salary DATA'!CD45)*100</f>
        <v>1.4771528194509285</v>
      </c>
      <c r="K46" s="155">
        <f>(('Salary DATA'!DC45-'Salary DATA'!DB45)/'Salary DATA'!DB45)*100</f>
        <v>2.5243939539892142</v>
      </c>
      <c r="L46" s="242">
        <f>(('Salary DATA'!EA45-'Salary DATA'!DZ45)/'Salary DATA'!DZ45)*100</f>
        <v>-12.38793716075069</v>
      </c>
    </row>
    <row r="47" spans="1:12">
      <c r="A47" s="132" t="s">
        <v>126</v>
      </c>
      <c r="B47" s="132"/>
      <c r="C47" s="153">
        <f>'Salary DATA'!AI46</f>
        <v>72259.84773100054</v>
      </c>
      <c r="D47" s="249">
        <f>'Salary DATA'!BG46</f>
        <v>99192.382326420193</v>
      </c>
      <c r="E47" s="153">
        <f>'Salary DATA'!CE46</f>
        <v>71634.208022388062</v>
      </c>
      <c r="F47" s="153">
        <f>'Salary DATA'!DC46</f>
        <v>59351.378995433792</v>
      </c>
      <c r="G47" s="153">
        <f>'Salary DATA'!EA46</f>
        <v>41399.304020100506</v>
      </c>
      <c r="H47" s="292">
        <f>(('Salary DATA'!AI46-'Salary DATA'!AH46)/'Salary DATA'!AH46)*100</f>
        <v>-0.56688643774052516</v>
      </c>
      <c r="I47" s="135">
        <f>(('Salary DATA'!BG46-'Salary DATA'!BF46)/'Salary DATA'!BF46)*100</f>
        <v>-0.56009178339700927</v>
      </c>
      <c r="J47" s="241">
        <f>(('Salary DATA'!CE46-'Salary DATA'!CD46)/'Salary DATA'!CD46)*100</f>
        <v>-5.0637913755610726E-2</v>
      </c>
      <c r="K47" s="155">
        <f>(('Salary DATA'!DC46-'Salary DATA'!DB46)/'Salary DATA'!DB46)*100</f>
        <v>0.26158480661686273</v>
      </c>
      <c r="L47" s="242">
        <f>(('Salary DATA'!EA46-'Salary DATA'!DZ46)/'Salary DATA'!DZ46)*100</f>
        <v>-1.6263218874400159E-2</v>
      </c>
    </row>
    <row r="48" spans="1:12">
      <c r="A48" s="141" t="s">
        <v>127</v>
      </c>
      <c r="B48" s="141"/>
      <c r="C48" s="148">
        <f>'Salary DATA'!AI47</f>
        <v>82276.002357008168</v>
      </c>
      <c r="D48" s="247">
        <f>'Salary DATA'!BG47</f>
        <v>114326.25746178112</v>
      </c>
      <c r="E48" s="148">
        <f>'Salary DATA'!CE47</f>
        <v>80500.983729662083</v>
      </c>
      <c r="F48" s="148">
        <f>'Salary DATA'!DC47</f>
        <v>67670.283197389886</v>
      </c>
      <c r="G48" s="148">
        <f>'Salary DATA'!EA47</f>
        <v>46123.768740031897</v>
      </c>
      <c r="H48" s="291">
        <f>(('Salary DATA'!AI47-'Salary DATA'!AH47)/'Salary DATA'!AH47)*100</f>
        <v>1.8667784847177336</v>
      </c>
      <c r="I48" s="127">
        <f>(('Salary DATA'!BG47-'Salary DATA'!BF47)/'Salary DATA'!BF47)*100</f>
        <v>1.4449404784525017</v>
      </c>
      <c r="J48" s="237">
        <f>(('Salary DATA'!CE47-'Salary DATA'!CD47)/'Salary DATA'!CD47)*100</f>
        <v>1.2920820402968658</v>
      </c>
      <c r="K48" s="150">
        <f>(('Salary DATA'!DC47-'Salary DATA'!DB47)/'Salary DATA'!DB47)*100</f>
        <v>2.0324586094263211</v>
      </c>
      <c r="L48" s="243">
        <f>(('Salary DATA'!EA47-'Salary DATA'!DZ47)/'Salary DATA'!DZ47)*100</f>
        <v>3.2934884860991631</v>
      </c>
    </row>
    <row r="49" spans="1:12">
      <c r="A49" s="141" t="s">
        <v>128</v>
      </c>
      <c r="B49" s="141"/>
      <c r="C49" s="148">
        <f>'Salary DATA'!AI48</f>
        <v>78737.843290236284</v>
      </c>
      <c r="D49" s="247">
        <f>'Salary DATA'!BG48</f>
        <v>101292.49211356467</v>
      </c>
      <c r="E49" s="148">
        <f>'Salary DATA'!CE48</f>
        <v>74741.65700861394</v>
      </c>
      <c r="F49" s="148">
        <f>'Salary DATA'!DC48</f>
        <v>65406.545537340622</v>
      </c>
      <c r="G49" s="148">
        <f>'Salary DATA'!EA48</f>
        <v>45102.828337874656</v>
      </c>
      <c r="H49" s="291">
        <f>(('Salary DATA'!AI48-'Salary DATA'!AH48)/'Salary DATA'!AH48)*100</f>
        <v>-0.26461028561387462</v>
      </c>
      <c r="I49" s="127">
        <f>(('Salary DATA'!BG48-'Salary DATA'!BF48)/'Salary DATA'!BF48)*100</f>
        <v>-0.60499131452243737</v>
      </c>
      <c r="J49" s="237">
        <f>(('Salary DATA'!CE48-'Salary DATA'!CD48)/'Salary DATA'!CD48)*100</f>
        <v>-0.54429729848017894</v>
      </c>
      <c r="K49" s="150">
        <f>(('Salary DATA'!DC48-'Salary DATA'!DB48)/'Salary DATA'!DB48)*100</f>
        <v>0.95317217936879073</v>
      </c>
      <c r="L49" s="243">
        <f>(('Salary DATA'!EA48-'Salary DATA'!DZ48)/'Salary DATA'!DZ48)*100</f>
        <v>-2.0278647801915795</v>
      </c>
    </row>
    <row r="50" spans="1:12">
      <c r="A50" s="141" t="s">
        <v>129</v>
      </c>
      <c r="B50" s="141"/>
      <c r="C50" s="148">
        <f>'Salary DATA'!AI49</f>
        <v>66448.636509065051</v>
      </c>
      <c r="D50" s="247">
        <f>'Salary DATA'!BG49</f>
        <v>89436.061899038468</v>
      </c>
      <c r="E50" s="148">
        <f>'Salary DATA'!CE49</f>
        <v>68040.991902834008</v>
      </c>
      <c r="F50" s="148">
        <f>'Salary DATA'!DC49</f>
        <v>56878.457682291664</v>
      </c>
      <c r="G50" s="148">
        <f>'Salary DATA'!EA49</f>
        <v>39830.571428571428</v>
      </c>
      <c r="H50" s="291">
        <f>(('Salary DATA'!AI49-'Salary DATA'!AH49)/'Salary DATA'!AH49)*100</f>
        <v>-9.9434860187509092E-2</v>
      </c>
      <c r="I50" s="127">
        <f>(('Salary DATA'!BG49-'Salary DATA'!BF49)/'Salary DATA'!BF49)*100</f>
        <v>-1.2020764107203694</v>
      </c>
      <c r="J50" s="237">
        <f>(('Salary DATA'!CE49-'Salary DATA'!CD49)/'Salary DATA'!CD49)*100</f>
        <v>0.14372030603452887</v>
      </c>
      <c r="K50" s="150">
        <f>(('Salary DATA'!DC49-'Salary DATA'!DB49)/'Salary DATA'!DB49)*100</f>
        <v>0.29273940745917487</v>
      </c>
      <c r="L50" s="243">
        <f>(('Salary DATA'!EA49-'Salary DATA'!DZ49)/'Salary DATA'!DZ49)*100</f>
        <v>-0.6636130736965592</v>
      </c>
    </row>
    <row r="51" spans="1:12">
      <c r="A51" s="141" t="s">
        <v>130</v>
      </c>
      <c r="B51" s="141"/>
      <c r="C51" s="148">
        <f>'Salary DATA'!AI50</f>
        <v>76513.328506787337</v>
      </c>
      <c r="D51" s="247">
        <f>'Salary DATA'!BG50</f>
        <v>98252.589221556889</v>
      </c>
      <c r="E51" s="148">
        <f>'Salary DATA'!CE50</f>
        <v>73145.734899328862</v>
      </c>
      <c r="F51" s="148">
        <f>'Salary DATA'!DC50</f>
        <v>62735.606694560673</v>
      </c>
      <c r="G51" s="148">
        <f>'Salary DATA'!EA50</f>
        <v>41351.588235294119</v>
      </c>
      <c r="H51" s="291">
        <f>(('Salary DATA'!AI50-'Salary DATA'!AH50)/'Salary DATA'!AH50)*100</f>
        <v>1.7774879423123675</v>
      </c>
      <c r="I51" s="127">
        <f>(('Salary DATA'!BG50-'Salary DATA'!BF50)/'Salary DATA'!BF50)*100</f>
        <v>1.6363565250351517</v>
      </c>
      <c r="J51" s="237">
        <f>(('Salary DATA'!CE50-'Salary DATA'!CD50)/'Salary DATA'!CD50)*100</f>
        <v>1.2246722183309267</v>
      </c>
      <c r="K51" s="150">
        <f>(('Salary DATA'!DC50-'Salary DATA'!DB50)/'Salary DATA'!DB50)*100</f>
        <v>3.5055751617666679</v>
      </c>
      <c r="L51" s="243">
        <f>(('Salary DATA'!EA50-'Salary DATA'!DZ50)/'Salary DATA'!DZ50)*100</f>
        <v>4.1101415204524745</v>
      </c>
    </row>
    <row r="52" spans="1:12">
      <c r="A52" s="132" t="s">
        <v>131</v>
      </c>
      <c r="B52" s="132"/>
      <c r="C52" s="153">
        <f>'Salary DATA'!AI51</f>
        <v>66128.738348868181</v>
      </c>
      <c r="D52" s="249">
        <f>'Salary DATA'!BG51</f>
        <v>90503.166077738511</v>
      </c>
      <c r="E52" s="153">
        <f>'Salary DATA'!CE51</f>
        <v>71708.324742268043</v>
      </c>
      <c r="F52" s="153">
        <f>'Salary DATA'!DC51</f>
        <v>62014.051470588238</v>
      </c>
      <c r="G52" s="153">
        <f>'Salary DATA'!EA51</f>
        <v>43692.144444444442</v>
      </c>
      <c r="H52" s="292">
        <f>(('Salary DATA'!AI51-'Salary DATA'!AH51)/'Salary DATA'!AH51)*100</f>
        <v>4.1078863120781746</v>
      </c>
      <c r="I52" s="135">
        <f>(('Salary DATA'!BG51-'Salary DATA'!BF51)/'Salary DATA'!BF51)*100</f>
        <v>3.9780448304769296</v>
      </c>
      <c r="J52" s="241">
        <f>(('Salary DATA'!CE51-'Salary DATA'!CD51)/'Salary DATA'!CD51)*100</f>
        <v>5.1001373463872746</v>
      </c>
      <c r="K52" s="155">
        <f>(('Salary DATA'!DC51-'Salary DATA'!DB51)/'Salary DATA'!DB51)*100</f>
        <v>5.6741918264669877</v>
      </c>
      <c r="L52" s="242">
        <f>(('Salary DATA'!EA51-'Salary DATA'!DZ51)/'Salary DATA'!DZ51)*100</f>
        <v>5.899844107627497</v>
      </c>
    </row>
    <row r="53" spans="1:12">
      <c r="A53" s="132" t="s">
        <v>132</v>
      </c>
      <c r="B53" s="132"/>
      <c r="C53" s="153">
        <f>'Salary DATA'!AI52</f>
        <v>79052.167767503299</v>
      </c>
      <c r="D53" s="249">
        <f>'Salary DATA'!BG52</f>
        <v>108685.44530764451</v>
      </c>
      <c r="E53" s="153">
        <f>'Salary DATA'!CE52</f>
        <v>77176.748945147672</v>
      </c>
      <c r="F53" s="153">
        <f>'Salary DATA'!DC52</f>
        <v>64575.200542005419</v>
      </c>
      <c r="G53" s="153">
        <f>'Salary DATA'!EA52</f>
        <v>41905.822128851541</v>
      </c>
      <c r="H53" s="292">
        <f>(('Salary DATA'!AI52-'Salary DATA'!AH52)/'Salary DATA'!AH52)*100</f>
        <v>1.5865805719490891</v>
      </c>
      <c r="I53" s="135">
        <f>(('Salary DATA'!BG52-'Salary DATA'!BF52)/'Salary DATA'!BF52)*100</f>
        <v>2.3385930297733331</v>
      </c>
      <c r="J53" s="241">
        <f>(('Salary DATA'!CE52-'Salary DATA'!CD52)/'Salary DATA'!CD52)*100</f>
        <v>2.1215518650534615</v>
      </c>
      <c r="K53" s="155">
        <f>(('Salary DATA'!DC52-'Salary DATA'!DB52)/'Salary DATA'!DB52)*100</f>
        <v>1.813937188684775</v>
      </c>
      <c r="L53" s="242">
        <f>(('Salary DATA'!EA52-'Salary DATA'!DZ52)/'Salary DATA'!DZ52)*100</f>
        <v>1.081703017926775</v>
      </c>
    </row>
    <row r="54" spans="1:12">
      <c r="A54" s="132" t="s">
        <v>133</v>
      </c>
      <c r="B54" s="132"/>
      <c r="C54" s="153">
        <f>'Salary DATA'!AI53</f>
        <v>60666.356756756759</v>
      </c>
      <c r="D54" s="249">
        <f>'Salary DATA'!BG53</f>
        <v>79729.116197183102</v>
      </c>
      <c r="E54" s="153">
        <f>'Salary DATA'!CE53</f>
        <v>63921.505976095621</v>
      </c>
      <c r="F54" s="153">
        <f>'Salary DATA'!DC53</f>
        <v>54977.892351274786</v>
      </c>
      <c r="G54" s="153">
        <f>'Salary DATA'!EA53</f>
        <v>41732.757990867583</v>
      </c>
      <c r="H54" s="292">
        <f>(('Salary DATA'!AI53-'Salary DATA'!AH53)/'Salary DATA'!AH53)*100</f>
        <v>-0.55884896060569667</v>
      </c>
      <c r="I54" s="135">
        <f>(('Salary DATA'!BG53-'Salary DATA'!BF53)/'Salary DATA'!BF53)*100</f>
        <v>-0.92128753066478652</v>
      </c>
      <c r="J54" s="241">
        <f>(('Salary DATA'!CE53-'Salary DATA'!CD53)/'Salary DATA'!CD53)*100</f>
        <v>-0.82185519015507236</v>
      </c>
      <c r="K54" s="155">
        <f>(('Salary DATA'!DC53-'Salary DATA'!DB53)/'Salary DATA'!DB53)*100</f>
        <v>0.5144254775751379</v>
      </c>
      <c r="L54" s="242">
        <f>(('Salary DATA'!EA53-'Salary DATA'!DZ53)/'Salary DATA'!DZ53)*100</f>
        <v>-1.1267260255742466</v>
      </c>
    </row>
    <row r="55" spans="1:12">
      <c r="A55" s="156" t="s">
        <v>134</v>
      </c>
      <c r="B55" s="156"/>
      <c r="C55" s="167">
        <f>'Salary DATA'!AI54</f>
        <v>70096.749716690945</v>
      </c>
      <c r="D55" s="255">
        <f>'Salary DATA'!BG54</f>
        <v>90709.789701636182</v>
      </c>
      <c r="E55" s="167">
        <f>'Salary DATA'!CE54</f>
        <v>67172.243918053777</v>
      </c>
      <c r="F55" s="167">
        <f>'Salary DATA'!DC54</f>
        <v>61091.987154784845</v>
      </c>
      <c r="G55" s="167">
        <f>'Salary DATA'!EA54</f>
        <v>52937.071428571428</v>
      </c>
      <c r="H55" s="295">
        <f>(('Salary DATA'!AI54-'Salary DATA'!AH54)/'Salary DATA'!AH54)*100</f>
        <v>0.87642681406855916</v>
      </c>
      <c r="I55" s="169">
        <f>(('Salary DATA'!BG54-'Salary DATA'!BF54)/'Salary DATA'!BF54)*100</f>
        <v>1.1553565059659554</v>
      </c>
      <c r="J55" s="256">
        <f>(('Salary DATA'!CE54-'Salary DATA'!CD54)/'Salary DATA'!CD54)*100</f>
        <v>0.94404976565837029</v>
      </c>
      <c r="K55" s="161">
        <f>(('Salary DATA'!DC54-'Salary DATA'!DB54)/'Salary DATA'!DB54)*100</f>
        <v>0.75692803794934027</v>
      </c>
      <c r="L55" s="253">
        <f>(('Salary DATA'!EA54-'Salary DATA'!DZ54)/'Salary DATA'!DZ54)*100</f>
        <v>4.8522908273530163</v>
      </c>
    </row>
    <row r="56" spans="1:12">
      <c r="A56" s="141" t="s">
        <v>135</v>
      </c>
      <c r="B56" s="61"/>
      <c r="C56" s="62">
        <f>'Salary DATA'!AI9</f>
        <v>86082.532849247844</v>
      </c>
      <c r="D56" s="70">
        <f>'Salary DATA'!BG9</f>
        <v>114517.61591263651</v>
      </c>
      <c r="E56" s="61">
        <f>'Salary DATA'!CE9</f>
        <v>84547.266295025722</v>
      </c>
      <c r="F56" s="61">
        <f>'Salary DATA'!DC9</f>
        <v>68915.548025661876</v>
      </c>
      <c r="G56" s="61">
        <f>'Salary DATA'!EA9</f>
        <v>50874.601405622489</v>
      </c>
      <c r="H56" s="294">
        <f>(('Salary DATA'!AI9-'Salary DATA'!AH9)/'Salary DATA'!AH9)*100</f>
        <v>3.7180699508437312</v>
      </c>
      <c r="I56" s="174">
        <f>(('Salary DATA'!BG9-'Salary DATA'!BF9)/'Salary DATA'!BF9)*100</f>
        <v>3.1405324501733793</v>
      </c>
      <c r="J56" s="257">
        <f>(('Salary DATA'!CE9-'Salary DATA'!CD9)/'Salary DATA'!CD9)*100</f>
        <v>3.0930102961828703</v>
      </c>
      <c r="K56" s="176">
        <f>(('Salary DATA'!DC9-'Salary DATA'!DB9)/'Salary DATA'!DB9)*100</f>
        <v>4.2594915418981563</v>
      </c>
      <c r="L56" s="243">
        <f>(('Salary DATA'!EA9-'Salary DATA'!DZ9)/'Salary DATA'!DZ9)*100</f>
        <v>2.314674820383297</v>
      </c>
    </row>
    <row r="57" spans="1:12">
      <c r="A57" s="61" t="s">
        <v>8</v>
      </c>
      <c r="B57" s="61"/>
      <c r="C57" s="239">
        <f>(C56/$C$8)*100</f>
        <v>110.45202910338161</v>
      </c>
      <c r="D57" s="236">
        <f>(D56/$D$8)*100</f>
        <v>107.56754190929023</v>
      </c>
      <c r="E57" s="239">
        <f>(E56/$E$8)*100</f>
        <v>110.42642437737322</v>
      </c>
      <c r="F57" s="239">
        <f>(F56/$F$8)*100</f>
        <v>106.52696432048221</v>
      </c>
      <c r="G57" s="239">
        <f>(G56/$G$8)*100</f>
        <v>113.59179923370033</v>
      </c>
      <c r="H57" s="294"/>
      <c r="I57" s="174"/>
      <c r="J57" s="257"/>
      <c r="K57" s="176"/>
      <c r="L57" s="243"/>
    </row>
    <row r="58" spans="1:12">
      <c r="A58" s="132" t="s">
        <v>136</v>
      </c>
      <c r="B58" s="132"/>
      <c r="C58" s="179">
        <f>'Salary DATA'!AI56</f>
        <v>90716.857417371255</v>
      </c>
      <c r="D58" s="258">
        <f>'Salary DATA'!BG56</f>
        <v>114797.74164133739</v>
      </c>
      <c r="E58" s="179">
        <f>'Salary DATA'!CE56</f>
        <v>85109.516666666663</v>
      </c>
      <c r="F58" s="179">
        <f>'Salary DATA'!DC56</f>
        <v>68059.568940493467</v>
      </c>
      <c r="G58" s="179">
        <f>'Salary DATA'!EA56</f>
        <v>58312.445652173912</v>
      </c>
      <c r="H58" s="296">
        <f>(('Salary DATA'!AI56-'Salary DATA'!AH56)/'Salary DATA'!AH56)*100</f>
        <v>2.7172775033670833</v>
      </c>
      <c r="I58" s="181">
        <f>(('Salary DATA'!BG56-'Salary DATA'!BF56)/'Salary DATA'!BF56)*100</f>
        <v>2.6436599988166587</v>
      </c>
      <c r="J58" s="259">
        <f>(('Salary DATA'!CE56-'Salary DATA'!CD56)/'Salary DATA'!CD56)*100</f>
        <v>2.3715962682463654</v>
      </c>
      <c r="K58" s="183">
        <f>(('Salary DATA'!DC56-'Salary DATA'!DB56)/'Salary DATA'!DB56)*100</f>
        <v>1.5646793768052392</v>
      </c>
      <c r="L58" s="242">
        <f>(('Salary DATA'!EA56-'Salary DATA'!DZ56)/'Salary DATA'!DZ56)*100</f>
        <v>1.115962843347726</v>
      </c>
    </row>
    <row r="59" spans="1:12">
      <c r="A59" s="132" t="s">
        <v>137</v>
      </c>
      <c r="B59" s="132"/>
      <c r="C59" s="179">
        <f>'Salary DATA'!AI57</f>
        <v>71449.829701372073</v>
      </c>
      <c r="D59" s="258">
        <f>'Salary DATA'!BG57</f>
        <v>90651.724637681153</v>
      </c>
      <c r="E59" s="179">
        <f>'Salary DATA'!CE57</f>
        <v>70007.78125</v>
      </c>
      <c r="F59" s="179">
        <f>'Salary DATA'!DC57</f>
        <v>55835.801020408166</v>
      </c>
      <c r="G59" s="179">
        <f>'Salary DATA'!EA57</f>
        <v>49732.323529411762</v>
      </c>
      <c r="H59" s="296">
        <f>(('Salary DATA'!AI57-'Salary DATA'!AH57)/'Salary DATA'!AH57)*100</f>
        <v>1.0690322779524188</v>
      </c>
      <c r="I59" s="181">
        <f>(('Salary DATA'!BG57-'Salary DATA'!BF57)/'Salary DATA'!BF57)*100</f>
        <v>1.890442853422565</v>
      </c>
      <c r="J59" s="259">
        <f>(('Salary DATA'!CE57-'Salary DATA'!CD57)/'Salary DATA'!CD57)*100</f>
        <v>0.50831486777909995</v>
      </c>
      <c r="K59" s="183">
        <f>(('Salary DATA'!DC57-'Salary DATA'!DB57)/'Salary DATA'!DB57)*100</f>
        <v>2.7922151448804726</v>
      </c>
      <c r="L59" s="242">
        <f>(('Salary DATA'!EA57-'Salary DATA'!DZ57)/'Salary DATA'!DZ57)*100</f>
        <v>2.9882980509099029</v>
      </c>
    </row>
    <row r="60" spans="1:12">
      <c r="A60" s="132" t="s">
        <v>138</v>
      </c>
      <c r="B60" s="132"/>
      <c r="C60" s="179">
        <f>'Salary DATA'!AI58</f>
        <v>81053.542684462358</v>
      </c>
      <c r="D60" s="258">
        <f>'Salary DATA'!BG58</f>
        <v>101583.89067974772</v>
      </c>
      <c r="E60" s="179">
        <f>'Salary DATA'!CE58</f>
        <v>78868.031853281849</v>
      </c>
      <c r="F60" s="179">
        <f>'Salary DATA'!DC58</f>
        <v>65462.257884972169</v>
      </c>
      <c r="G60" s="179">
        <f>'Salary DATA'!EA58</f>
        <v>54299.609375</v>
      </c>
      <c r="H60" s="296">
        <f>(('Salary DATA'!AI58-'Salary DATA'!AH58)/'Salary DATA'!AH58)*100</f>
        <v>0.80920687792908996</v>
      </c>
      <c r="I60" s="181">
        <f>(('Salary DATA'!BG58-'Salary DATA'!BF58)/'Salary DATA'!BF58)*100</f>
        <v>0.21092630253319666</v>
      </c>
      <c r="J60" s="259">
        <f>(('Salary DATA'!CE58-'Salary DATA'!CD58)/'Salary DATA'!CD58)*100</f>
        <v>0.70363669891026759</v>
      </c>
      <c r="K60" s="183">
        <f>(('Salary DATA'!DC58-'Salary DATA'!DB58)/'Salary DATA'!DB58)*100</f>
        <v>1.3603590457279633</v>
      </c>
      <c r="L60" s="242">
        <f>(('Salary DATA'!EA58-'Salary DATA'!DZ58)/'Salary DATA'!DZ58)*100</f>
        <v>-2.5542814314369324</v>
      </c>
    </row>
    <row r="61" spans="1:12">
      <c r="A61" s="132" t="s">
        <v>139</v>
      </c>
      <c r="B61" s="132"/>
      <c r="C61" s="179">
        <f>'Salary DATA'!AI59</f>
        <v>85722.166988416982</v>
      </c>
      <c r="D61" s="258">
        <f>'Salary DATA'!BG59</f>
        <v>103356.71317829458</v>
      </c>
      <c r="E61" s="179">
        <f>'Salary DATA'!CE59</f>
        <v>83407.721763085399</v>
      </c>
      <c r="F61" s="179">
        <f>'Salary DATA'!DC59</f>
        <v>67689.379310344826</v>
      </c>
      <c r="G61" s="179">
        <f>'Salary DATA'!EA59</f>
        <v>57821.666666666664</v>
      </c>
      <c r="H61" s="296">
        <f>(('Salary DATA'!AI59-'Salary DATA'!AH59)/'Salary DATA'!AH59)*100</f>
        <v>2.2597265834636384</v>
      </c>
      <c r="I61" s="181">
        <f>(('Salary DATA'!BG59-'Salary DATA'!BF59)/'Salary DATA'!BF59)*100</f>
        <v>1.2711615280907425</v>
      </c>
      <c r="J61" s="259">
        <f>(('Salary DATA'!CE59-'Salary DATA'!CD59)/'Salary DATA'!CD59)*100</f>
        <v>2.4902456739898033</v>
      </c>
      <c r="K61" s="183">
        <f>(('Salary DATA'!DC59-'Salary DATA'!DB59)/'Salary DATA'!DB59)*100</f>
        <v>3.1557366587172728</v>
      </c>
      <c r="L61" s="242">
        <f>(('Salary DATA'!EA59-'Salary DATA'!DZ59)/'Salary DATA'!DZ59)*100</f>
        <v>-2.9376381389362956</v>
      </c>
    </row>
    <row r="62" spans="1:12">
      <c r="A62" s="141" t="s">
        <v>140</v>
      </c>
      <c r="B62" s="141"/>
      <c r="C62" s="164">
        <f>'Salary DATA'!AI60</f>
        <v>99784.209193751129</v>
      </c>
      <c r="D62" s="254">
        <f>'Salary DATA'!BG60</f>
        <v>131715.0918114144</v>
      </c>
      <c r="E62" s="164">
        <f>'Salary DATA'!CE60</f>
        <v>93816.073286052007</v>
      </c>
      <c r="F62" s="164">
        <f>'Salary DATA'!DC60</f>
        <v>76168.018611309948</v>
      </c>
      <c r="G62" s="164">
        <f>'Salary DATA'!EA60</f>
        <v>51047.006944444445</v>
      </c>
      <c r="H62" s="294">
        <f>(('Salary DATA'!AI60-'Salary DATA'!AH60)/'Salary DATA'!AH60)*100</f>
        <v>3.1229527847039531</v>
      </c>
      <c r="I62" s="174">
        <f>(('Salary DATA'!BG60-'Salary DATA'!BF60)/'Salary DATA'!BF60)*100</f>
        <v>2.9930717657775161</v>
      </c>
      <c r="J62" s="257">
        <f>(('Salary DATA'!CE60-'Salary DATA'!CD60)/'Salary DATA'!CD60)*100</f>
        <v>2.7412533229680869</v>
      </c>
      <c r="K62" s="176">
        <f>(('Salary DATA'!DC60-'Salary DATA'!DB60)/'Salary DATA'!DB60)*100</f>
        <v>4.1285254838672225</v>
      </c>
      <c r="L62" s="243">
        <f>(('Salary DATA'!EA60-'Salary DATA'!DZ60)/'Salary DATA'!DZ60)*100</f>
        <v>1.7432733898846358</v>
      </c>
    </row>
    <row r="63" spans="1:12">
      <c r="A63" s="141" t="s">
        <v>141</v>
      </c>
      <c r="B63" s="141"/>
      <c r="C63" s="164">
        <f>'Salary DATA'!AI61</f>
        <v>87247.071416857987</v>
      </c>
      <c r="D63" s="254">
        <f>'Salary DATA'!BG61</f>
        <v>115079.93409818569</v>
      </c>
      <c r="E63" s="164">
        <f>'Salary DATA'!CE61</f>
        <v>84903.009573304153</v>
      </c>
      <c r="F63" s="164">
        <f>'Salary DATA'!DC61</f>
        <v>70275.456601639802</v>
      </c>
      <c r="G63" s="164">
        <f>'Salary DATA'!EA61</f>
        <v>55041.523560209425</v>
      </c>
      <c r="H63" s="294">
        <f>(('Salary DATA'!AI61-'Salary DATA'!AH61)/'Salary DATA'!AH61)*100</f>
        <v>5.5359225726646377</v>
      </c>
      <c r="I63" s="174">
        <f>(('Salary DATA'!BG61-'Salary DATA'!BF61)/'Salary DATA'!BF61)*100</f>
        <v>5.1582126310220326</v>
      </c>
      <c r="J63" s="257">
        <f>(('Salary DATA'!CE61-'Salary DATA'!CD61)/'Salary DATA'!CD61)*100</f>
        <v>3.9849009423358952</v>
      </c>
      <c r="K63" s="176">
        <f>(('Salary DATA'!DC61-'Salary DATA'!DB61)/'Salary DATA'!DB61)*100</f>
        <v>5.5750537426180813</v>
      </c>
      <c r="L63" s="243">
        <f>(('Salary DATA'!EA61-'Salary DATA'!DZ61)/'Salary DATA'!DZ61)*100</f>
        <v>7.4296133311020727</v>
      </c>
    </row>
    <row r="64" spans="1:12">
      <c r="A64" s="62" t="s">
        <v>142</v>
      </c>
      <c r="B64" s="62"/>
      <c r="C64" s="184">
        <f>'Salary DATA'!AI62</f>
        <v>82094.142869127521</v>
      </c>
      <c r="D64" s="260">
        <f>'Salary DATA'!BG62</f>
        <v>116814.79578351164</v>
      </c>
      <c r="E64" s="184">
        <f>'Salary DATA'!CE62</f>
        <v>84331.390678761338</v>
      </c>
      <c r="F64" s="184">
        <f>'Salary DATA'!DC62</f>
        <v>67677.98831242873</v>
      </c>
      <c r="G64" s="184">
        <f>'Salary DATA'!EA62</f>
        <v>49498.219737856591</v>
      </c>
      <c r="H64" s="297">
        <f>(('Salary DATA'!AI62-'Salary DATA'!AH62)/'Salary DATA'!AH62)*100</f>
        <v>4.0010474783872869</v>
      </c>
      <c r="I64" s="174">
        <f>(('Salary DATA'!BG62-'Salary DATA'!BF62)/'Salary DATA'!BF62)*100</f>
        <v>3.1576081875611588</v>
      </c>
      <c r="J64" s="257">
        <f>(('Salary DATA'!CE62-'Salary DATA'!CD62)/'Salary DATA'!CD62)*100</f>
        <v>3.5361163949970251</v>
      </c>
      <c r="K64" s="176">
        <f>(('Salary DATA'!DC62-'Salary DATA'!DB62)/'Salary DATA'!DB62)*100</f>
        <v>4.7409153043927708</v>
      </c>
      <c r="L64" s="261">
        <f>(('Salary DATA'!EA62-'Salary DATA'!DZ62)/'Salary DATA'!DZ62)*100</f>
        <v>1.9284726635913068</v>
      </c>
    </row>
    <row r="65" spans="1:13">
      <c r="A65" s="62" t="s">
        <v>0</v>
      </c>
      <c r="B65" s="62"/>
      <c r="C65" s="184">
        <f>'Salary DATA'!AI63</f>
        <v>77451.750495049506</v>
      </c>
      <c r="D65" s="260">
        <f>'Salary DATA'!BG63</f>
        <v>96485.530660377364</v>
      </c>
      <c r="E65" s="184">
        <f>'Salary DATA'!CE63</f>
        <v>73095.937254901961</v>
      </c>
      <c r="F65" s="184">
        <f>'Salary DATA'!DC63</f>
        <v>60619.212500000001</v>
      </c>
      <c r="G65" s="184">
        <f>'Salary DATA'!EA63</f>
        <v>53911.090909090912</v>
      </c>
      <c r="H65" s="297">
        <f>(('Salary DATA'!AI63-'Salary DATA'!AH63)/'Salary DATA'!AH63)*100</f>
        <v>-0.35142921085872003</v>
      </c>
      <c r="I65" s="174">
        <f>(('Salary DATA'!BG63-'Salary DATA'!BF63)/'Salary DATA'!BF63)*100</f>
        <v>-0.17177161343765585</v>
      </c>
      <c r="J65" s="257">
        <f>(('Salary DATA'!CE63-'Salary DATA'!CD63)/'Salary DATA'!CD63)*100</f>
        <v>0.39574255352282539</v>
      </c>
      <c r="K65" s="176">
        <f>(('Salary DATA'!DC63-'Salary DATA'!DB63)/'Salary DATA'!DB63)*100</f>
        <v>-0.3947895076546043</v>
      </c>
      <c r="L65" s="262">
        <f>IF('Salary DATA'!DZ63&gt;0,(('Salary DATA'!EA63-'Salary DATA'!DZ63)/'Salary DATA'!DZ63)*100,"NA")</f>
        <v>10.945472032971061</v>
      </c>
    </row>
    <row r="66" spans="1:13">
      <c r="A66" s="63" t="s">
        <v>1</v>
      </c>
      <c r="B66" s="63"/>
      <c r="C66" s="185">
        <f>'Salary DATA'!AI64</f>
        <v>76387.256188118816</v>
      </c>
      <c r="D66" s="263">
        <f>'Salary DATA'!BG64</f>
        <v>97702.508333333331</v>
      </c>
      <c r="E66" s="185">
        <f>'Salary DATA'!CE64</f>
        <v>80252.416309012871</v>
      </c>
      <c r="F66" s="185">
        <f>'Salary DATA'!DC64</f>
        <v>61290.810526315792</v>
      </c>
      <c r="G66" s="185">
        <f>'Salary DATA'!EA64</f>
        <v>36948.333333333336</v>
      </c>
      <c r="H66" s="298">
        <f>(('Salary DATA'!AI64-'Salary DATA'!AH64)/'Salary DATA'!AH64)*100</f>
        <v>3.0114022704209233</v>
      </c>
      <c r="I66" s="187">
        <f>(('Salary DATA'!BG64-'Salary DATA'!BF64)/'Salary DATA'!BF64)*100</f>
        <v>2.9335704846010855</v>
      </c>
      <c r="J66" s="264">
        <f>(('Salary DATA'!CE64-'Salary DATA'!CD64)/'Salary DATA'!CD64)*100</f>
        <v>3.2033031630536355</v>
      </c>
      <c r="K66" s="189">
        <f>(('Salary DATA'!DC64-'Salary DATA'!DB64)/'Salary DATA'!DB64)*100</f>
        <v>2.0015265244136637</v>
      </c>
      <c r="L66" s="265">
        <f>(('Salary DATA'!EA64-'Salary DATA'!DZ64)/'Salary DATA'!DZ64)*100</f>
        <v>-25.392573247807437</v>
      </c>
    </row>
    <row r="67" spans="1:13">
      <c r="A67" s="192" t="s">
        <v>2</v>
      </c>
      <c r="B67" s="192"/>
      <c r="C67" s="193">
        <f>'Salary DATA'!AI65</f>
        <v>78435.904761904763</v>
      </c>
      <c r="D67" s="266">
        <f>'Salary DATA'!BG65</f>
        <v>96183.876543209873</v>
      </c>
      <c r="E67" s="193">
        <f>'Salary DATA'!CE65</f>
        <v>75464.988636363632</v>
      </c>
      <c r="F67" s="193">
        <f>'Salary DATA'!DC65</f>
        <v>59391.407407407409</v>
      </c>
      <c r="G67" s="193">
        <f>'Salary DATA'!EA65</f>
        <v>59968.125</v>
      </c>
      <c r="H67" s="299">
        <f>(('Salary DATA'!AI65-'Salary DATA'!AH65)/'Salary DATA'!AH65)*100</f>
        <v>2.6532170727360289</v>
      </c>
      <c r="I67" s="195">
        <f>(('Salary DATA'!BG65-'Salary DATA'!BF65)/'Salary DATA'!BF65)*100</f>
        <v>2.7300098943869204</v>
      </c>
      <c r="J67" s="267">
        <f>(('Salary DATA'!CE65-'Salary DATA'!CD65)/'Salary DATA'!CD65)*100</f>
        <v>1.7538504894217248</v>
      </c>
      <c r="K67" s="197">
        <f>(('Salary DATA'!DC65-'Salary DATA'!DB65)/'Salary DATA'!DB65)*100</f>
        <v>4.5323224223840839</v>
      </c>
      <c r="L67" s="268">
        <f>(('Salary DATA'!EA65-'Salary DATA'!DZ65)/'Salary DATA'!DZ65)*100</f>
        <v>10.369427982478742</v>
      </c>
    </row>
    <row r="68" spans="1:13" s="9" customFormat="1" ht="18" customHeight="1">
      <c r="A68" s="280" t="s">
        <v>10</v>
      </c>
      <c r="B68" s="271"/>
      <c r="C68" s="271"/>
      <c r="D68" s="271"/>
      <c r="E68" s="271"/>
      <c r="F68" s="271"/>
      <c r="G68" s="271"/>
      <c r="H68" s="217"/>
      <c r="K68" s="217"/>
      <c r="L68" s="217"/>
    </row>
    <row r="69" spans="1:13" s="282" customFormat="1" ht="81.75" customHeight="1">
      <c r="A69" s="281" t="s">
        <v>13</v>
      </c>
      <c r="B69" s="306" t="s">
        <v>28</v>
      </c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209"/>
    </row>
    <row r="70" spans="1:13" s="10" customFormat="1" ht="17.25" customHeight="1">
      <c r="A70" s="269" t="s">
        <v>15</v>
      </c>
      <c r="B70" s="270"/>
      <c r="C70" s="271"/>
      <c r="D70" s="270"/>
      <c r="E70" s="270"/>
      <c r="F70" s="270"/>
      <c r="G70" s="270"/>
      <c r="H70" s="214"/>
      <c r="I70" s="9"/>
      <c r="J70" s="9"/>
      <c r="K70" s="217"/>
      <c r="L70" s="214"/>
    </row>
    <row r="71" spans="1:13" s="10" customFormat="1" ht="15" customHeight="1">
      <c r="A71" s="272" t="s">
        <v>67</v>
      </c>
      <c r="B71" s="207" t="s">
        <v>92</v>
      </c>
      <c r="C71" s="273"/>
      <c r="D71" s="207"/>
      <c r="E71" s="207"/>
      <c r="F71" s="207"/>
      <c r="G71" s="274"/>
      <c r="I71" s="273"/>
      <c r="J71" s="275"/>
      <c r="K71" s="275"/>
    </row>
    <row r="72" spans="1:13" s="10" customFormat="1" ht="21.75" customHeight="1">
      <c r="A72" s="276"/>
      <c r="B72" s="284" t="s">
        <v>100</v>
      </c>
      <c r="C72" s="95"/>
      <c r="D72" s="93"/>
      <c r="E72" s="93"/>
      <c r="F72" s="93"/>
      <c r="G72" s="277"/>
      <c r="H72" s="276"/>
      <c r="I72" s="95"/>
      <c r="J72" s="205"/>
      <c r="K72" s="205"/>
      <c r="L72" s="276"/>
    </row>
    <row r="73" spans="1:13">
      <c r="L73" s="213" t="s">
        <v>27</v>
      </c>
    </row>
    <row r="74" spans="1:13">
      <c r="B74" s="212"/>
      <c r="C74" s="211"/>
      <c r="D74" s="212"/>
      <c r="E74" s="212"/>
      <c r="F74" s="212"/>
      <c r="H74" s="212"/>
      <c r="J74" s="211"/>
      <c r="K74" s="211"/>
      <c r="L74" s="212"/>
    </row>
    <row r="75" spans="1:13">
      <c r="B75" s="212"/>
      <c r="C75" s="211"/>
      <c r="D75" s="212"/>
      <c r="E75" s="212"/>
      <c r="F75" s="212"/>
      <c r="H75" s="212"/>
      <c r="J75" s="211"/>
      <c r="K75" s="211"/>
      <c r="L75" s="212"/>
    </row>
    <row r="76" spans="1:13">
      <c r="B76" s="212"/>
      <c r="C76" s="211"/>
      <c r="D76" s="212"/>
      <c r="E76" s="212"/>
      <c r="F76" s="212"/>
      <c r="H76" s="212"/>
      <c r="J76" s="211"/>
      <c r="K76" s="211"/>
      <c r="L76" s="212"/>
    </row>
    <row r="77" spans="1:13">
      <c r="B77" s="212"/>
      <c r="C77" s="211"/>
      <c r="D77" s="212"/>
      <c r="E77" s="212"/>
      <c r="F77" s="212"/>
      <c r="H77" s="212"/>
      <c r="J77" s="211"/>
      <c r="K77" s="211"/>
      <c r="L77" s="212"/>
    </row>
    <row r="78" spans="1:13" ht="9.9499999999999993" customHeight="1">
      <c r="C78" s="211"/>
      <c r="D78" s="212"/>
      <c r="E78" s="212"/>
      <c r="F78" s="212"/>
      <c r="H78" s="212"/>
      <c r="K78" s="211"/>
      <c r="L78" s="212"/>
    </row>
    <row r="79" spans="1:13" ht="9.9499999999999993" customHeight="1">
      <c r="C79" s="211"/>
      <c r="D79" s="212"/>
      <c r="E79" s="212"/>
      <c r="F79" s="212"/>
      <c r="H79" s="212"/>
      <c r="K79" s="211"/>
      <c r="L79" s="212"/>
    </row>
    <row r="80" spans="1:13" ht="9.9499999999999993" customHeight="1">
      <c r="B80" s="212"/>
      <c r="C80" s="211"/>
      <c r="D80" s="212"/>
      <c r="E80" s="212"/>
      <c r="F80" s="212"/>
    </row>
    <row r="81" spans="1:251" ht="9.9499999999999993" customHeight="1">
      <c r="B81" s="278"/>
      <c r="C81" s="279"/>
      <c r="D81" s="278"/>
      <c r="E81" s="278"/>
      <c r="F81" s="278"/>
      <c r="G81" s="278"/>
      <c r="H81" s="278"/>
      <c r="I81" s="279"/>
      <c r="J81" s="279"/>
      <c r="K81" s="279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278"/>
      <c r="BM81" s="278"/>
      <c r="BN81" s="278"/>
      <c r="BO81" s="278"/>
      <c r="BP81" s="278"/>
      <c r="BQ81" s="278"/>
      <c r="BR81" s="278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8"/>
      <c r="CJ81" s="278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CU81" s="278"/>
      <c r="CV81" s="278"/>
      <c r="CW81" s="278"/>
      <c r="CX81" s="278"/>
      <c r="CY81" s="278"/>
      <c r="CZ81" s="278"/>
      <c r="DA81" s="278"/>
      <c r="DB81" s="278"/>
      <c r="DC81" s="278"/>
      <c r="DD81" s="278"/>
      <c r="DE81" s="278"/>
      <c r="DF81" s="278"/>
      <c r="DG81" s="278"/>
      <c r="DH81" s="278"/>
      <c r="DI81" s="278"/>
      <c r="DJ81" s="278"/>
      <c r="DK81" s="278"/>
      <c r="DL81" s="278"/>
      <c r="DM81" s="278"/>
      <c r="DN81" s="278"/>
      <c r="DO81" s="278"/>
      <c r="DP81" s="278"/>
      <c r="DQ81" s="278"/>
      <c r="DR81" s="278"/>
      <c r="DS81" s="278"/>
      <c r="DT81" s="278"/>
      <c r="DU81" s="278"/>
      <c r="DV81" s="278"/>
      <c r="DW81" s="278"/>
      <c r="DX81" s="278"/>
      <c r="DY81" s="278"/>
      <c r="DZ81" s="278"/>
      <c r="EA81" s="278"/>
      <c r="EB81" s="278"/>
      <c r="EC81" s="278"/>
      <c r="ED81" s="278"/>
      <c r="EE81" s="278"/>
      <c r="EF81" s="278"/>
      <c r="EG81" s="278"/>
      <c r="EH81" s="278"/>
      <c r="EI81" s="278"/>
      <c r="EJ81" s="278"/>
      <c r="EK81" s="278"/>
      <c r="EL81" s="278"/>
      <c r="EM81" s="278"/>
      <c r="EN81" s="278"/>
      <c r="EO81" s="278"/>
      <c r="EP81" s="278"/>
      <c r="EQ81" s="278"/>
      <c r="ER81" s="278"/>
      <c r="ES81" s="278"/>
      <c r="ET81" s="278"/>
      <c r="EU81" s="278"/>
      <c r="EV81" s="278"/>
      <c r="EW81" s="278"/>
      <c r="EX81" s="278"/>
      <c r="EY81" s="278"/>
      <c r="EZ81" s="278"/>
      <c r="FA81" s="278"/>
      <c r="FB81" s="278"/>
      <c r="FC81" s="278"/>
      <c r="FD81" s="278"/>
      <c r="FE81" s="278"/>
      <c r="FF81" s="278"/>
      <c r="FG81" s="278"/>
      <c r="FH81" s="278"/>
      <c r="FI81" s="278"/>
      <c r="FJ81" s="278"/>
      <c r="FK81" s="278"/>
      <c r="FL81" s="278"/>
      <c r="FM81" s="278"/>
      <c r="FN81" s="278"/>
      <c r="FO81" s="278"/>
      <c r="FP81" s="278"/>
      <c r="FQ81" s="278"/>
      <c r="FR81" s="278"/>
      <c r="FS81" s="278"/>
      <c r="FT81" s="278"/>
      <c r="FU81" s="278"/>
      <c r="FV81" s="278"/>
      <c r="FW81" s="278"/>
      <c r="FX81" s="278"/>
      <c r="FY81" s="278"/>
      <c r="FZ81" s="278"/>
      <c r="GA81" s="278"/>
      <c r="GB81" s="278"/>
      <c r="GC81" s="278"/>
      <c r="GD81" s="278"/>
      <c r="GE81" s="278"/>
      <c r="GF81" s="278"/>
      <c r="GG81" s="278"/>
      <c r="GH81" s="278"/>
      <c r="GI81" s="278"/>
      <c r="GJ81" s="278"/>
      <c r="GK81" s="278"/>
      <c r="GL81" s="278"/>
      <c r="GM81" s="278"/>
      <c r="GN81" s="278"/>
      <c r="GO81" s="278"/>
      <c r="GP81" s="278"/>
      <c r="GQ81" s="278"/>
      <c r="GR81" s="278"/>
      <c r="GS81" s="278"/>
      <c r="GT81" s="278"/>
      <c r="GU81" s="278"/>
      <c r="GV81" s="278"/>
      <c r="GW81" s="278"/>
      <c r="GX81" s="278"/>
      <c r="GY81" s="278"/>
      <c r="GZ81" s="278"/>
      <c r="HA81" s="278"/>
      <c r="HB81" s="278"/>
      <c r="HC81" s="278"/>
      <c r="HD81" s="278"/>
      <c r="HE81" s="278"/>
      <c r="HF81" s="278"/>
      <c r="HG81" s="278"/>
      <c r="HH81" s="278"/>
      <c r="HI81" s="278"/>
      <c r="HJ81" s="278"/>
      <c r="HK81" s="278"/>
      <c r="HL81" s="278"/>
      <c r="HM81" s="278"/>
      <c r="HN81" s="278"/>
      <c r="HO81" s="278"/>
      <c r="HP81" s="278"/>
      <c r="HQ81" s="278"/>
      <c r="HR81" s="278"/>
      <c r="HS81" s="278"/>
      <c r="HT81" s="278"/>
      <c r="HU81" s="278"/>
      <c r="HV81" s="278"/>
      <c r="HW81" s="278"/>
      <c r="HX81" s="278"/>
      <c r="HY81" s="278"/>
      <c r="HZ81" s="278"/>
      <c r="IA81" s="278"/>
      <c r="IB81" s="278"/>
      <c r="IC81" s="278"/>
      <c r="ID81" s="278"/>
      <c r="IE81" s="278"/>
      <c r="IF81" s="278"/>
      <c r="IG81" s="278"/>
      <c r="IH81" s="278"/>
      <c r="II81" s="278"/>
      <c r="IJ81" s="278"/>
      <c r="IK81" s="278"/>
      <c r="IL81" s="278"/>
      <c r="IM81" s="278"/>
      <c r="IN81" s="278"/>
      <c r="IO81" s="278"/>
      <c r="IP81" s="278"/>
      <c r="IQ81" s="278"/>
    </row>
    <row r="82" spans="1:251" ht="9.9499999999999993" customHeight="1">
      <c r="B82" s="1"/>
      <c r="C82" s="6"/>
      <c r="D82" s="1"/>
      <c r="E82" s="1"/>
      <c r="F82" s="1"/>
      <c r="G82" s="1"/>
      <c r="H82" s="1"/>
      <c r="I82" s="6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1:251" ht="9.9499999999999993" customHeight="1">
      <c r="B83" s="1"/>
      <c r="C83" s="6"/>
      <c r="D83" s="1"/>
      <c r="E83" s="1"/>
      <c r="F83" s="1"/>
      <c r="G83" s="1"/>
      <c r="H83" s="1"/>
      <c r="I83" s="6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pans="1:251" ht="9.9499999999999993" customHeight="1">
      <c r="B84" s="1"/>
      <c r="C84" s="6"/>
      <c r="D84" s="1"/>
      <c r="E84" s="1"/>
      <c r="F84" s="1"/>
      <c r="G84" s="1"/>
      <c r="H84" s="1"/>
      <c r="I84" s="6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pans="1:251" ht="9.9499999999999993" customHeight="1">
      <c r="B85" s="1"/>
      <c r="C85" s="6"/>
      <c r="D85" s="1"/>
      <c r="E85" s="1"/>
      <c r="F85" s="1"/>
      <c r="G85" s="1"/>
      <c r="H85" s="1"/>
      <c r="I85" s="6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1:251" ht="9.9499999999999993" customHeight="1">
      <c r="B86" s="1"/>
      <c r="C86" s="6"/>
      <c r="D86" s="1"/>
      <c r="E86" s="1"/>
      <c r="F86" s="1"/>
      <c r="G86" s="1"/>
      <c r="H86" s="1"/>
      <c r="I86" s="6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1:251" ht="9.9499999999999993" customHeight="1">
      <c r="B87" s="1"/>
      <c r="C87" s="6"/>
      <c r="D87" s="1"/>
      <c r="E87" s="1"/>
      <c r="F87" s="1"/>
      <c r="G87" s="1"/>
      <c r="H87" s="1"/>
      <c r="I87" s="6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pans="1:251" ht="9.9499999999999993" customHeight="1">
      <c r="B88" s="1"/>
      <c r="C88" s="6"/>
      <c r="D88" s="1"/>
      <c r="E88" s="1"/>
      <c r="F88" s="1"/>
      <c r="G88" s="1"/>
      <c r="H88" s="1"/>
      <c r="I88" s="6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pans="1:251" ht="9.9499999999999993" customHeight="1">
      <c r="B89" s="1"/>
      <c r="C89" s="6"/>
      <c r="D89" s="1"/>
      <c r="E89" s="1"/>
      <c r="F89" s="1"/>
      <c r="G89" s="1"/>
      <c r="H89" s="1"/>
      <c r="I89" s="6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pans="1:251" ht="9.9499999999999993" customHeight="1">
      <c r="B90" s="1"/>
      <c r="C90" s="6"/>
      <c r="D90" s="1"/>
      <c r="E90" s="1"/>
      <c r="F90" s="1"/>
      <c r="G90" s="1"/>
      <c r="H90" s="1"/>
      <c r="I90" s="6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1:251" ht="9.9499999999999993" customHeight="1">
      <c r="B91" s="1"/>
      <c r="C91" s="6"/>
      <c r="D91" s="1"/>
      <c r="E91" s="1"/>
      <c r="F91" s="1"/>
      <c r="G91" s="1"/>
      <c r="H91" s="1"/>
      <c r="I91" s="6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1:251" ht="9.9499999999999993" customHeight="1">
      <c r="B92" s="1"/>
      <c r="C92" s="6"/>
      <c r="D92" s="1"/>
      <c r="E92" s="1"/>
      <c r="F92" s="1"/>
      <c r="G92" s="1"/>
      <c r="H92" s="1"/>
      <c r="I92" s="6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1:251" ht="9.9499999999999993" customHeight="1">
      <c r="A93" s="1"/>
      <c r="B93" s="1"/>
      <c r="C93" s="6"/>
      <c r="D93" s="1"/>
      <c r="E93" s="1"/>
      <c r="F93" s="1"/>
      <c r="G93" s="1"/>
      <c r="H93" s="1"/>
      <c r="I93" s="6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pans="1:251" ht="9.9499999999999993" customHeight="1">
      <c r="A94" s="1"/>
      <c r="B94" s="1"/>
      <c r="C94" s="6"/>
      <c r="D94" s="1"/>
      <c r="E94" s="1"/>
      <c r="F94" s="1"/>
      <c r="G94" s="1"/>
      <c r="H94" s="1"/>
      <c r="I94" s="6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pans="1:251" ht="9.9499999999999993" customHeight="1">
      <c r="A95" s="1"/>
      <c r="B95" s="1"/>
      <c r="C95" s="6"/>
      <c r="D95" s="1"/>
      <c r="E95" s="1"/>
      <c r="F95" s="1"/>
      <c r="G95" s="1"/>
      <c r="H95" s="1"/>
      <c r="I95" s="6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1:251" ht="9.9499999999999993" customHeight="1">
      <c r="A96" s="1"/>
      <c r="B96" s="1"/>
      <c r="C96" s="6"/>
      <c r="D96" s="1"/>
      <c r="E96" s="1"/>
      <c r="F96" s="1"/>
      <c r="G96" s="1"/>
      <c r="H96" s="1"/>
      <c r="I96" s="6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1:251" ht="9.9499999999999993" customHeight="1">
      <c r="A97" s="1"/>
      <c r="B97" s="1"/>
      <c r="C97" s="6"/>
      <c r="D97" s="1"/>
      <c r="E97" s="1"/>
      <c r="F97" s="1"/>
      <c r="G97" s="1"/>
      <c r="H97" s="1"/>
      <c r="I97" s="6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1:251" ht="9.9499999999999993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</row>
  </sheetData>
  <mergeCells count="1">
    <mergeCell ref="B69:L69"/>
  </mergeCells>
  <phoneticPr fontId="20" type="noConversion"/>
  <printOptions horizontalCentered="1"/>
  <pageMargins left="0.5" right="0.5" top="0.49" bottom="0.56999999999999995" header="0.5" footer="0.28000000000000003"/>
  <pageSetup scale="72" orientation="portrait" verticalDpi="300" r:id="rId1"/>
  <headerFooter alignWithMargins="0">
    <oddFooter>&amp;L&amp;"Arial,Regular"&amp;8SREB Fact Book&amp;R&amp;"Arial,Regular"&amp;8&amp;D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enableFormatConditionsCalculation="0">
    <tabColor rgb="FF0000FF"/>
  </sheetPr>
  <dimension ref="A1:EA68"/>
  <sheetViews>
    <sheetView tabSelected="1" zoomScale="90" zoomScaleNormal="90" zoomScalePageLayoutView="90" workbookViewId="0">
      <pane xSplit="1" ySplit="5" topLeftCell="BC6" activePane="bottomRight" state="frozen"/>
      <selection pane="topRight" activeCell="B1" sqref="B1"/>
      <selection pane="bottomLeft" activeCell="A6" sqref="A6"/>
      <selection pane="bottomRight" activeCell="BD10" sqref="BD10:BG10"/>
    </sheetView>
  </sheetViews>
  <sheetFormatPr defaultColWidth="9.7109375" defaultRowHeight="12.75"/>
  <cols>
    <col min="1" max="1" width="17.5703125" style="24" customWidth="1"/>
    <col min="2" max="12" width="8.140625" style="24" customWidth="1"/>
    <col min="13" max="17" width="8.7109375" style="24" customWidth="1"/>
    <col min="18" max="18" width="9.5703125" style="24" customWidth="1"/>
    <col min="19" max="23" width="8.7109375" style="24" customWidth="1"/>
    <col min="24" max="27" width="8.7109375" style="37" customWidth="1"/>
    <col min="28" max="35" width="8.85546875" style="37" customWidth="1"/>
    <col min="36" max="41" width="8.7109375" style="24" customWidth="1"/>
    <col min="42" max="42" width="9" style="24" customWidth="1"/>
    <col min="43" max="44" width="8.7109375" style="24" customWidth="1"/>
    <col min="45" max="47" width="9.140625" style="24" customWidth="1"/>
    <col min="48" max="52" width="9.140625" style="37" customWidth="1"/>
    <col min="53" max="55" width="8.85546875" style="37" customWidth="1"/>
    <col min="56" max="56" width="9.7109375" style="37"/>
    <col min="57" max="57" width="10.140625" style="37" customWidth="1"/>
    <col min="58" max="58" width="10.28515625" style="37" customWidth="1"/>
    <col min="59" max="59" width="8.85546875" style="37" customWidth="1"/>
    <col min="60" max="60" width="8.7109375" style="24" bestFit="1" customWidth="1"/>
    <col min="61" max="65" width="8.7109375" style="24" customWidth="1"/>
    <col min="66" max="66" width="9.140625" style="24" customWidth="1"/>
    <col min="67" max="68" width="8.7109375" style="24" customWidth="1"/>
    <col min="69" max="71" width="9.140625" style="24" customWidth="1"/>
    <col min="72" max="76" width="9.140625" style="37" customWidth="1"/>
    <col min="77" max="83" width="8.85546875" style="37" customWidth="1"/>
    <col min="84" max="84" width="8.7109375" style="24" bestFit="1" customWidth="1"/>
    <col min="85" max="89" width="8.7109375" style="24" customWidth="1"/>
    <col min="90" max="90" width="9.140625" style="24" customWidth="1"/>
    <col min="91" max="92" width="8.7109375" style="24" customWidth="1"/>
    <col min="93" max="95" width="9.140625" style="24" customWidth="1"/>
    <col min="96" max="100" width="9.140625" style="37" customWidth="1"/>
    <col min="101" max="107" width="8.85546875" style="37" customWidth="1"/>
    <col min="108" max="108" width="8.7109375" style="24" bestFit="1" customWidth="1"/>
    <col min="109" max="113" width="8.7109375" style="24" customWidth="1"/>
    <col min="114" max="114" width="9.28515625" style="24" customWidth="1"/>
    <col min="115" max="116" width="8.7109375" style="24" customWidth="1"/>
    <col min="117" max="117" width="9" style="24" customWidth="1"/>
    <col min="118" max="119" width="8.7109375" style="24" customWidth="1"/>
    <col min="120" max="121" width="9.42578125" style="24" customWidth="1"/>
    <col min="122" max="124" width="8.7109375" style="24" customWidth="1"/>
    <col min="125" max="129" width="8.85546875" style="37" customWidth="1"/>
    <col min="130" max="130" width="8.85546875" style="9" customWidth="1"/>
    <col min="131" max="131" width="8.85546875" style="37" customWidth="1"/>
    <col min="132" max="132" width="7.7109375" style="24" customWidth="1"/>
    <col min="133" max="135" width="8.7109375" style="24" customWidth="1"/>
    <col min="136" max="16384" width="9.7109375" style="24"/>
  </cols>
  <sheetData>
    <row r="1" spans="1:131">
      <c r="A1" s="21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U1" s="23"/>
      <c r="DV1" s="23"/>
      <c r="DW1" s="23"/>
      <c r="DX1" s="23"/>
      <c r="DY1" s="23"/>
      <c r="DZ1" s="75"/>
      <c r="EA1" s="23"/>
    </row>
    <row r="2" spans="1:131">
      <c r="A2" s="21" t="s">
        <v>90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38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U2" s="23"/>
      <c r="DV2" s="23"/>
      <c r="DW2" s="23"/>
      <c r="DX2" s="23"/>
      <c r="DY2" s="23"/>
      <c r="DZ2" s="75"/>
      <c r="EA2" s="23"/>
    </row>
    <row r="3" spans="1:13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38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U3" s="23"/>
      <c r="DV3" s="23"/>
      <c r="DW3" s="23"/>
      <c r="DX3" s="23"/>
      <c r="DY3" s="23"/>
      <c r="DZ3" s="75"/>
      <c r="EA3" s="23"/>
    </row>
    <row r="4" spans="1:131">
      <c r="A4" s="22"/>
      <c r="B4" s="25" t="s">
        <v>30</v>
      </c>
      <c r="C4" s="26"/>
      <c r="D4" s="26"/>
      <c r="E4" s="26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 t="s">
        <v>31</v>
      </c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69" t="s">
        <v>32</v>
      </c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69" t="s">
        <v>33</v>
      </c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9" t="s">
        <v>34</v>
      </c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76"/>
      <c r="EA4" s="27"/>
    </row>
    <row r="5" spans="1:131">
      <c r="A5" s="81"/>
      <c r="B5" s="30" t="s">
        <v>72</v>
      </c>
      <c r="C5" s="30" t="s">
        <v>74</v>
      </c>
      <c r="D5" s="30" t="s">
        <v>75</v>
      </c>
      <c r="E5" s="30" t="s">
        <v>76</v>
      </c>
      <c r="F5" s="30" t="s">
        <v>77</v>
      </c>
      <c r="G5" s="30" t="s">
        <v>78</v>
      </c>
      <c r="H5" s="30" t="s">
        <v>35</v>
      </c>
      <c r="I5" s="30" t="s">
        <v>79</v>
      </c>
      <c r="J5" s="30" t="s">
        <v>80</v>
      </c>
      <c r="K5" s="30" t="s">
        <v>81</v>
      </c>
      <c r="L5" s="30" t="s">
        <v>82</v>
      </c>
      <c r="M5" s="31" t="s">
        <v>36</v>
      </c>
      <c r="N5" s="32" t="s">
        <v>37</v>
      </c>
      <c r="O5" s="32" t="s">
        <v>38</v>
      </c>
      <c r="P5" s="32" t="s">
        <v>68</v>
      </c>
      <c r="Q5" s="32" t="s">
        <v>39</v>
      </c>
      <c r="R5" s="32" t="s">
        <v>40</v>
      </c>
      <c r="S5" s="32" t="s">
        <v>41</v>
      </c>
      <c r="T5" s="32" t="s">
        <v>42</v>
      </c>
      <c r="U5" s="32" t="s">
        <v>43</v>
      </c>
      <c r="V5" s="32" t="s">
        <v>63</v>
      </c>
      <c r="W5" s="32" t="s">
        <v>69</v>
      </c>
      <c r="X5" s="32" t="s">
        <v>70</v>
      </c>
      <c r="Y5" s="32" t="s">
        <v>71</v>
      </c>
      <c r="Z5" s="32" t="s">
        <v>88</v>
      </c>
      <c r="AA5" s="32" t="s">
        <v>89</v>
      </c>
      <c r="AB5" s="32" t="s">
        <v>91</v>
      </c>
      <c r="AC5" s="32" t="s">
        <v>94</v>
      </c>
      <c r="AD5" s="32" t="s">
        <v>97</v>
      </c>
      <c r="AE5" s="32" t="s">
        <v>98</v>
      </c>
      <c r="AF5" s="32" t="s">
        <v>99</v>
      </c>
      <c r="AG5" s="32" t="s">
        <v>102</v>
      </c>
      <c r="AH5" s="32" t="s">
        <v>107</v>
      </c>
      <c r="AI5" s="32" t="s">
        <v>19</v>
      </c>
      <c r="AJ5" s="33" t="s">
        <v>35</v>
      </c>
      <c r="AK5" s="32" t="s">
        <v>36</v>
      </c>
      <c r="AL5" s="32" t="s">
        <v>37</v>
      </c>
      <c r="AM5" s="32" t="s">
        <v>38</v>
      </c>
      <c r="AN5" s="32" t="s">
        <v>68</v>
      </c>
      <c r="AO5" s="32" t="s">
        <v>39</v>
      </c>
      <c r="AP5" s="32" t="s">
        <v>40</v>
      </c>
      <c r="AQ5" s="32" t="s">
        <v>41</v>
      </c>
      <c r="AR5" s="32" t="s">
        <v>42</v>
      </c>
      <c r="AS5" s="32" t="s">
        <v>43</v>
      </c>
      <c r="AT5" s="32" t="s">
        <v>63</v>
      </c>
      <c r="AU5" s="32" t="s">
        <v>69</v>
      </c>
      <c r="AV5" s="32" t="s">
        <v>70</v>
      </c>
      <c r="AW5" s="32" t="s">
        <v>71</v>
      </c>
      <c r="AX5" s="32" t="s">
        <v>88</v>
      </c>
      <c r="AY5" s="32" t="s">
        <v>89</v>
      </c>
      <c r="AZ5" s="32" t="s">
        <v>91</v>
      </c>
      <c r="BA5" s="32" t="s">
        <v>94</v>
      </c>
      <c r="BB5" s="32" t="s">
        <v>97</v>
      </c>
      <c r="BC5" s="32" t="s">
        <v>98</v>
      </c>
      <c r="BD5" s="32" t="s">
        <v>99</v>
      </c>
      <c r="BE5" s="32" t="s">
        <v>102</v>
      </c>
      <c r="BF5" s="32" t="s">
        <v>107</v>
      </c>
      <c r="BG5" s="32" t="s">
        <v>19</v>
      </c>
      <c r="BH5" s="33" t="s">
        <v>35</v>
      </c>
      <c r="BI5" s="32" t="s">
        <v>36</v>
      </c>
      <c r="BJ5" s="32" t="s">
        <v>37</v>
      </c>
      <c r="BK5" s="32" t="s">
        <v>38</v>
      </c>
      <c r="BL5" s="32" t="s">
        <v>68</v>
      </c>
      <c r="BM5" s="32" t="s">
        <v>39</v>
      </c>
      <c r="BN5" s="32" t="s">
        <v>40</v>
      </c>
      <c r="BO5" s="32" t="s">
        <v>41</v>
      </c>
      <c r="BP5" s="32" t="s">
        <v>42</v>
      </c>
      <c r="BQ5" s="32" t="s">
        <v>43</v>
      </c>
      <c r="BR5" s="32" t="s">
        <v>63</v>
      </c>
      <c r="BS5" s="32" t="s">
        <v>69</v>
      </c>
      <c r="BT5" s="32" t="s">
        <v>70</v>
      </c>
      <c r="BU5" s="32" t="s">
        <v>71</v>
      </c>
      <c r="BV5" s="32" t="s">
        <v>88</v>
      </c>
      <c r="BW5" s="32" t="s">
        <v>89</v>
      </c>
      <c r="BX5" s="32" t="s">
        <v>91</v>
      </c>
      <c r="BY5" s="32" t="s">
        <v>94</v>
      </c>
      <c r="BZ5" s="32" t="s">
        <v>97</v>
      </c>
      <c r="CA5" s="32" t="s">
        <v>98</v>
      </c>
      <c r="CB5" s="32" t="s">
        <v>99</v>
      </c>
      <c r="CC5" s="32" t="s">
        <v>102</v>
      </c>
      <c r="CD5" s="32" t="s">
        <v>107</v>
      </c>
      <c r="CE5" s="32" t="s">
        <v>19</v>
      </c>
      <c r="CF5" s="33" t="s">
        <v>35</v>
      </c>
      <c r="CG5" s="32" t="s">
        <v>36</v>
      </c>
      <c r="CH5" s="32" t="s">
        <v>37</v>
      </c>
      <c r="CI5" s="32" t="s">
        <v>38</v>
      </c>
      <c r="CJ5" s="32" t="s">
        <v>68</v>
      </c>
      <c r="CK5" s="32" t="s">
        <v>39</v>
      </c>
      <c r="CL5" s="32" t="s">
        <v>40</v>
      </c>
      <c r="CM5" s="32" t="s">
        <v>41</v>
      </c>
      <c r="CN5" s="32" t="s">
        <v>42</v>
      </c>
      <c r="CO5" s="32" t="s">
        <v>43</v>
      </c>
      <c r="CP5" s="32" t="s">
        <v>63</v>
      </c>
      <c r="CQ5" s="32" t="s">
        <v>69</v>
      </c>
      <c r="CR5" s="32" t="s">
        <v>70</v>
      </c>
      <c r="CS5" s="32" t="s">
        <v>71</v>
      </c>
      <c r="CT5" s="32" t="s">
        <v>88</v>
      </c>
      <c r="CU5" s="32" t="s">
        <v>89</v>
      </c>
      <c r="CV5" s="32" t="s">
        <v>91</v>
      </c>
      <c r="CW5" s="32" t="s">
        <v>94</v>
      </c>
      <c r="CX5" s="32" t="s">
        <v>97</v>
      </c>
      <c r="CY5" s="32" t="s">
        <v>98</v>
      </c>
      <c r="CZ5" s="32" t="s">
        <v>99</v>
      </c>
      <c r="DA5" s="32" t="s">
        <v>102</v>
      </c>
      <c r="DB5" s="32" t="s">
        <v>107</v>
      </c>
      <c r="DC5" s="32" t="s">
        <v>19</v>
      </c>
      <c r="DD5" s="34" t="s">
        <v>35</v>
      </c>
      <c r="DE5" s="32" t="s">
        <v>36</v>
      </c>
      <c r="DF5" s="32" t="s">
        <v>37</v>
      </c>
      <c r="DG5" s="32" t="s">
        <v>38</v>
      </c>
      <c r="DH5" s="32" t="s">
        <v>68</v>
      </c>
      <c r="DI5" s="32" t="s">
        <v>39</v>
      </c>
      <c r="DJ5" s="32" t="s">
        <v>40</v>
      </c>
      <c r="DK5" s="32" t="s">
        <v>41</v>
      </c>
      <c r="DL5" s="32" t="s">
        <v>42</v>
      </c>
      <c r="DM5" s="32" t="s">
        <v>43</v>
      </c>
      <c r="DN5" s="32" t="s">
        <v>63</v>
      </c>
      <c r="DO5" s="32" t="s">
        <v>69</v>
      </c>
      <c r="DP5" s="32" t="s">
        <v>70</v>
      </c>
      <c r="DQ5" s="32" t="s">
        <v>71</v>
      </c>
      <c r="DR5" s="32" t="s">
        <v>88</v>
      </c>
      <c r="DS5" s="32" t="s">
        <v>89</v>
      </c>
      <c r="DT5" s="32" t="s">
        <v>91</v>
      </c>
      <c r="DU5" s="32" t="s">
        <v>94</v>
      </c>
      <c r="DV5" s="32" t="s">
        <v>97</v>
      </c>
      <c r="DW5" s="32" t="s">
        <v>98</v>
      </c>
      <c r="DX5" s="32" t="s">
        <v>99</v>
      </c>
      <c r="DY5" s="32" t="s">
        <v>102</v>
      </c>
      <c r="DZ5" s="77" t="s">
        <v>107</v>
      </c>
      <c r="EA5" s="32" t="s">
        <v>19</v>
      </c>
    </row>
    <row r="6" spans="1:131" s="35" customFormat="1">
      <c r="A6" s="63" t="s">
        <v>4</v>
      </c>
      <c r="B6" s="82"/>
      <c r="C6" s="82">
        <v>20722</v>
      </c>
      <c r="D6" s="82">
        <v>22458.697744569301</v>
      </c>
      <c r="E6" s="83">
        <f>(($M6-$H6)/4)+D6</f>
        <v>25000.09034085719</v>
      </c>
      <c r="F6" s="83">
        <f>(($M6-$H6)/4)+E6</f>
        <v>27541.48293714508</v>
      </c>
      <c r="G6" s="83">
        <f>(($M6-$H6)/4)+F6</f>
        <v>30082.875533432969</v>
      </c>
      <c r="H6" s="82">
        <v>30182.2079314041</v>
      </c>
      <c r="I6" s="83">
        <f>(($M6-$H6)/5)+H6</f>
        <v>32215.32200843441</v>
      </c>
      <c r="J6" s="83">
        <f>(($M6-$H6)/5)+I6</f>
        <v>34248.436085464724</v>
      </c>
      <c r="K6" s="83">
        <f>(($M6-$H6)/5)+J6</f>
        <v>36281.550162495034</v>
      </c>
      <c r="L6" s="83">
        <f>(($M6-$H6)/5)+K6</f>
        <v>38314.664239525344</v>
      </c>
      <c r="M6" s="8">
        <f>((74171*44414)+(27937*39940)+(25290*38649)+(25790*39594)+(31937*35108)+(7492*32278))/(74171+27937+25290+25790+31937+7492)</f>
        <v>40347.778316555654</v>
      </c>
      <c r="N6" s="8">
        <f>((74227*47170)+(29331*41420)+(26252*40400)+(26877*42280)+(34189*37120)+(7951*34160))/(74227+29331+26252+26877+34189+7951)</f>
        <v>42518.469875821691</v>
      </c>
      <c r="O6" s="8">
        <f>((77407*49020)+(32691*44710)+(25052*41510)+(25937*44260)+(34894*39600)+(6177*35710))/(77407+32691+25052+25937+34894+6177)</f>
        <v>44749.003057014808</v>
      </c>
      <c r="P6" s="8">
        <f>((79575*50560)+(27485*45350)+(26625*44060)+(23719*45820)+(37268*40710)+(5932*36230))/(79575+27485+26625+23719+37268+5932)</f>
        <v>46169.345925305577</v>
      </c>
      <c r="Q6" s="8">
        <f>(((51730*83474)+(45660*27118)+(44660*50649)+(42730*22900)+(40890*14665)+(38070*7820))/(83474+27118+50649+22900+14665+7820))</f>
        <v>46916.547239940759</v>
      </c>
      <c r="R6" s="8">
        <f>(((53220*80918)+(46990*28440)+(45960*48299)+(44110*23039)+(43030*17572)+(39550*9071))/(80918+28440+48299+23039+17572+9071))</f>
        <v>48200.314943160716</v>
      </c>
      <c r="S6" s="8">
        <f>((55360*81632)+(48970*27409)+(47520*47861)+(45410*22985)+(44370*16425)+(40880*8653))/(81632+27409+47861+22985+16425+8653)</f>
        <v>50066.995389456737</v>
      </c>
      <c r="T6" s="8">
        <f>((57200*81330)+(50400*28305)+(48700*48592)+(46130*21370)+(45400*15334)+(41700*8896))/(81330+28305+48592+21370+15334+8896)</f>
        <v>51504.478307584373</v>
      </c>
      <c r="U6" s="8">
        <v>53421</v>
      </c>
      <c r="V6" s="8">
        <v>54941</v>
      </c>
      <c r="W6" s="8">
        <v>56915.640417843992</v>
      </c>
      <c r="X6" s="8">
        <v>59079.210167277401</v>
      </c>
      <c r="Y6" s="8">
        <v>61119</v>
      </c>
      <c r="Z6" s="84">
        <v>63408.701641615364</v>
      </c>
      <c r="AA6" s="8">
        <v>65084.226160254802</v>
      </c>
      <c r="AB6" s="8">
        <v>66285.810532788702</v>
      </c>
      <c r="AC6" s="8">
        <v>66554.21412042818</v>
      </c>
      <c r="AD6" s="8">
        <v>69792.639103123249</v>
      </c>
      <c r="AE6" s="8">
        <v>71035.532600469989</v>
      </c>
      <c r="AF6" s="8">
        <v>73542.338423321678</v>
      </c>
      <c r="AG6" s="8">
        <v>75943.349907756507</v>
      </c>
      <c r="AH6" s="8">
        <v>76995.926814136241</v>
      </c>
      <c r="AI6" s="8">
        <v>77936.578936613063</v>
      </c>
      <c r="AJ6" s="85" t="s">
        <v>44</v>
      </c>
      <c r="AK6" s="8">
        <f>((55736*31570)+(50010*10235)+(48358*8389)+(48085*11209)+(43334*10242)+(40181*1929))/(31510+10235+8389+11209+10242+1929)</f>
        <v>50839.756699404192</v>
      </c>
      <c r="AL6" s="8">
        <f>((61980*31552)+(56410*10486)+(52020*8588)+(51820*11521)+(49380*10771)+(44740*2089))/(32273+11665+8439+11164+11095+1754)</f>
        <v>55193.193349914909</v>
      </c>
      <c r="AM6" s="8">
        <f>((61980*32273)+(56410*11665)+(52020*8439)+(53820*11164)+(49380*11095)+(44740*1754))/(32273+11665+8439+11164+11095+1754)</f>
        <v>56610.701793428459</v>
      </c>
      <c r="AN6" s="86">
        <f>((AO6-AM6)/2)+AM6</f>
        <v>58107.350896714226</v>
      </c>
      <c r="AO6" s="8">
        <v>59604</v>
      </c>
      <c r="AP6" s="8">
        <f>((66700*34634)+(59560*9906)+(56310*18845)+(54770*7616)+(53410*5429)+(49950*2333))/(34634+9906+18845+7616+5429+2333)</f>
        <v>60750.297347739419</v>
      </c>
      <c r="AQ6" s="8">
        <f>((69400*34981)+(62020*9625)+(58130*18811)+(57130*7490)+(55170*5030)+(51440*2297))/(34981+9625+18811+7490+5030+2297)</f>
        <v>63165.296546258658</v>
      </c>
      <c r="AR6" s="8">
        <f>((71770*35099)+(64130*10000)+(59650*19101)+(57720*6930)+(56320*4651)+(52420*2334))/(35099+10000+19101+6930+4651+2334)</f>
        <v>65083.813352109071</v>
      </c>
      <c r="AS6" s="8">
        <v>67690</v>
      </c>
      <c r="AT6" s="8">
        <v>70008</v>
      </c>
      <c r="AU6" s="8">
        <v>72781.517696641837</v>
      </c>
      <c r="AV6" s="87">
        <v>76157.26162262226</v>
      </c>
      <c r="AW6" s="87">
        <v>79637</v>
      </c>
      <c r="AX6" s="87">
        <v>82753</v>
      </c>
      <c r="AY6" s="87">
        <v>85473.914683643394</v>
      </c>
      <c r="AZ6" s="8">
        <v>87390.614695800497</v>
      </c>
      <c r="BA6" s="8">
        <v>89012.835177605986</v>
      </c>
      <c r="BB6" s="8">
        <v>93190.197866935123</v>
      </c>
      <c r="BC6" s="8">
        <v>96194.386585149739</v>
      </c>
      <c r="BD6" s="8">
        <v>100065.71722410343</v>
      </c>
      <c r="BE6" s="8">
        <v>104068.21167059659</v>
      </c>
      <c r="BF6" s="8">
        <v>105264.71901838957</v>
      </c>
      <c r="BG6" s="8">
        <v>106461.12561464605</v>
      </c>
      <c r="BH6" s="85" t="s">
        <v>44</v>
      </c>
      <c r="BI6" s="8">
        <f>((40209*20810)+(38323*8484)+(38363*7614)+(37638*6502)+(35642*9214)+(33648*2159))/(20810+8484+7614+6502+9214+2159)</f>
        <v>38328.517970903384</v>
      </c>
      <c r="BJ6" s="8">
        <f>((42710*20613)+(40160*8612)+(40500*7675)+(40440*6694)+(37940*9554)+(35530*2263))/(20613+8612+7675+6694+9554+2263)</f>
        <v>40617.660031401705</v>
      </c>
      <c r="BK6" s="8">
        <f>((44480*21044)+(43060*9836)+(41750*7026)+(42250*6312)+(40270*9666)+(37040*1710))/(21044+9836+7026+6312+9666+1710)</f>
        <v>42669.730546461848</v>
      </c>
      <c r="BL6" s="86">
        <f>((BM6-BK6)/2)+BK6</f>
        <v>43765.865273230927</v>
      </c>
      <c r="BM6" s="8">
        <v>44862</v>
      </c>
      <c r="BN6" s="8">
        <f>((47900*22733)+(45210*8722)+(44970*12649)+(44650*6204)+(43950*4695)+(41010*2735))/(22733+8722+12649+6204+4695+2735)</f>
        <v>45854.966399944577</v>
      </c>
      <c r="BO6" s="8">
        <f>((49800*23236)+(47050*8605)+(46450*12523)+(46290*6350)+(45260*4317)+(42090*2574))/(23236+8605+12523+6350+4317+2574)</f>
        <v>47589.271417411685</v>
      </c>
      <c r="BP6" s="8">
        <f>((51370*23241)+(48360*8897)+(47490*12917)+(46680*5916)+(46400*4108)+(43060*2708))/(23241+8897+12917+5916+4108+2708)</f>
        <v>48816.411649678994</v>
      </c>
      <c r="BQ6" s="8">
        <v>50615</v>
      </c>
      <c r="BR6" s="8">
        <v>52247</v>
      </c>
      <c r="BS6" s="8">
        <v>53883.995915535656</v>
      </c>
      <c r="BT6" s="8">
        <v>56141.494134653054</v>
      </c>
      <c r="BU6" s="8">
        <v>58380</v>
      </c>
      <c r="BV6" s="8">
        <v>60578</v>
      </c>
      <c r="BW6" s="8">
        <v>62311.644304877802</v>
      </c>
      <c r="BX6" s="8">
        <v>63288.889534588299</v>
      </c>
      <c r="BY6" s="8">
        <v>64747.062032981194</v>
      </c>
      <c r="BZ6" s="8">
        <v>67320.954320652032</v>
      </c>
      <c r="CA6" s="8">
        <v>69694.359891766522</v>
      </c>
      <c r="CB6" s="8">
        <v>72556.383656928563</v>
      </c>
      <c r="CC6" s="8">
        <v>75085.562717925786</v>
      </c>
      <c r="CD6" s="8">
        <v>75745.118389308846</v>
      </c>
      <c r="CE6" s="8">
        <v>76564.342974732557</v>
      </c>
      <c r="CF6" s="85" t="s">
        <v>44</v>
      </c>
      <c r="CG6" s="8">
        <f>((34040*16707)+(32191*7095)+(31672*6642)+(31222*5577)+(29489*9153)+(28066*2312))/(16707+7095+6642+5577+9153+2312)</f>
        <v>31933.48254222297</v>
      </c>
      <c r="CH6" s="8">
        <f>((36180*17203)+(33490*7722)+(33440*7109)+(33550*6264)+(31150*10099)+(29700*2430))/(17203+7722+7109+6264+10099+2430)</f>
        <v>33754.72347374427</v>
      </c>
      <c r="CI6" s="8">
        <f>((37470*18191)+(35990*8637)+(34630*6760)+(35260*6166)+(33130*10117)+(30710*1898))/(18191+8637+6760+6166+10117+1898)</f>
        <v>35493.019954026538</v>
      </c>
      <c r="CJ6" s="86">
        <f>((CK6-CI6)/2)+CI6</f>
        <v>36493.009977013266</v>
      </c>
      <c r="CK6" s="8">
        <v>37493</v>
      </c>
      <c r="CL6" s="8">
        <f>((40700*18053)+(38070*7620)+(37260*12384)+(37170*6939)+(36940*5233)+(34190*2850))/(18053+7620+12384+6939+5233+2850)</f>
        <v>38338.127884850881</v>
      </c>
      <c r="CM6" s="8">
        <f>((42150*17815)+(39330*7048)+(38560*12091)+(38360*6841)+(38170*4960)+(35470*2696))/(17815+7048+12091+6841+4960+2696)</f>
        <v>39682.418806242837</v>
      </c>
      <c r="CN6" s="8">
        <f>((43120*17421)+(40240*7084)+(39360*11950)+(38840*6285)+(39140*4772)+(36040*2687))/(17421+7084+11950+6285+4772+2687)</f>
        <v>40525.322018366896</v>
      </c>
      <c r="CO6" s="8">
        <v>41938</v>
      </c>
      <c r="CP6" s="8">
        <v>43067</v>
      </c>
      <c r="CQ6" s="8">
        <v>44242.061349055613</v>
      </c>
      <c r="CR6" s="8">
        <v>46062.909276554419</v>
      </c>
      <c r="CS6" s="8">
        <v>48062</v>
      </c>
      <c r="CT6" s="8">
        <v>50129</v>
      </c>
      <c r="CU6" s="8">
        <v>51994.398820060502</v>
      </c>
      <c r="CV6" s="8">
        <v>53099.219421003501</v>
      </c>
      <c r="CW6" s="8">
        <v>54347.562112285297</v>
      </c>
      <c r="CX6" s="8">
        <v>56669.576310499469</v>
      </c>
      <c r="CY6" s="8">
        <v>58589.335132982254</v>
      </c>
      <c r="CZ6" s="8">
        <v>60937.456768218799</v>
      </c>
      <c r="DA6" s="8">
        <v>63085.906458483194</v>
      </c>
      <c r="DB6" s="8">
        <v>63695.883012636419</v>
      </c>
      <c r="DC6" s="8">
        <v>64693.055382984676</v>
      </c>
      <c r="DD6" s="88" t="s">
        <v>44</v>
      </c>
      <c r="DE6" s="8">
        <f>((23790*2758)+(23431*1405)+(23521*1630)+(24049*1418)+(23616*2533)+(23553*804))/(2758+1405+1630+1418+2533+804)</f>
        <v>23675.580868411074</v>
      </c>
      <c r="DF6" s="8">
        <f>((24830*2449)+(23350*1696)+(24470*1814)+(25640*1464)+(24860*2655)+(24800*850))/(2449+1696+1814+1464+2655+850)</f>
        <v>24654.018118594435</v>
      </c>
      <c r="DG6" s="8">
        <f>((26080*2313)+(25720*1554)+(25450*1995)+(26610*1517)+(26030*2578)+(24830*592))/(2313+1551+1995+1517+2578+592)</f>
        <v>25909.040394462354</v>
      </c>
      <c r="DH6" s="86">
        <f>((DI6-DG6)/2)+DG6</f>
        <v>26682.520197231177</v>
      </c>
      <c r="DI6" s="8">
        <v>27456</v>
      </c>
      <c r="DJ6" s="8">
        <f>((28800*2525)+(27000*1401)+(28070*2846)+(27970*1614)+(29440*1460)+(27620*857))/(2525+1401+2846+1614+1460+857)</f>
        <v>28237.927683826965</v>
      </c>
      <c r="DK6" s="8">
        <f>((30070*2518)+(28240*1282)+(29060*2917)+(28130*1502)+(30970*1358)+(28240*820))/(2518+1282+2917+1502+1358+820)</f>
        <v>29253.946330672308</v>
      </c>
      <c r="DL6" s="8">
        <f>((30490*2407)+(28830*1444)+(29900*2956)+(28530*1479)+(32190*1273)+(29530*853))/((2407+1444+2956+1479+1273+853))</f>
        <v>29943.063772570113</v>
      </c>
      <c r="DM6" s="8">
        <v>31200</v>
      </c>
      <c r="DN6" s="8">
        <v>31973</v>
      </c>
      <c r="DO6" s="87">
        <v>32345.016221296381</v>
      </c>
      <c r="DP6" s="87">
        <v>33417.754791236417</v>
      </c>
      <c r="DQ6" s="84">
        <v>34712</v>
      </c>
      <c r="DR6" s="87">
        <v>36391</v>
      </c>
      <c r="DS6" s="84">
        <v>36844.115414288499</v>
      </c>
      <c r="DT6" s="84">
        <v>37340.735422229598</v>
      </c>
      <c r="DU6" s="8">
        <v>38481.23886879316</v>
      </c>
      <c r="DV6" s="8">
        <v>39947.330965267429</v>
      </c>
      <c r="DW6" s="8">
        <v>41508.878860692726</v>
      </c>
      <c r="DX6" s="8">
        <v>43027.300826079721</v>
      </c>
      <c r="DY6" s="8">
        <v>44095.164919786097</v>
      </c>
      <c r="DZ6" s="89">
        <v>44541.507919109994</v>
      </c>
      <c r="EA6" s="8">
        <v>44787.213292532346</v>
      </c>
    </row>
    <row r="7" spans="1:131">
      <c r="A7" s="61" t="s">
        <v>108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>
        <v>69902.177263157893</v>
      </c>
      <c r="AD7" s="61"/>
      <c r="AE7" s="61"/>
      <c r="AF7" s="61"/>
      <c r="AG7" s="61"/>
      <c r="AH7" s="61">
        <v>81890.644681310485</v>
      </c>
      <c r="AI7" s="61">
        <v>82169.96105313547</v>
      </c>
      <c r="AJ7" s="70"/>
      <c r="AK7" s="62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>
        <v>90563.380176727354</v>
      </c>
      <c r="BB7" s="61"/>
      <c r="BC7" s="61"/>
      <c r="BD7" s="61"/>
      <c r="BE7" s="61"/>
      <c r="BF7" s="61">
        <v>107851.51752122972</v>
      </c>
      <c r="BG7" s="61">
        <v>107997.0357384032</v>
      </c>
      <c r="BH7" s="70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>
        <v>64143.058883911908</v>
      </c>
      <c r="BZ7" s="61"/>
      <c r="CA7" s="61"/>
      <c r="CB7" s="61"/>
      <c r="CC7" s="61"/>
      <c r="CD7" s="61">
        <v>76694.917984432614</v>
      </c>
      <c r="CE7" s="61">
        <v>76942.070440351017</v>
      </c>
      <c r="CF7" s="70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>
        <v>55392.94913305025</v>
      </c>
      <c r="CX7" s="61"/>
      <c r="CY7" s="61"/>
      <c r="CZ7" s="61"/>
      <c r="DA7" s="61"/>
      <c r="DB7" s="61">
        <v>66336.131683496104</v>
      </c>
      <c r="DC7" s="61">
        <v>66588.083276157806</v>
      </c>
      <c r="DD7" s="70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>
        <v>38436.666135881103</v>
      </c>
      <c r="DV7" s="61"/>
      <c r="DW7" s="61"/>
      <c r="DX7" s="61"/>
      <c r="DY7" s="61"/>
      <c r="DZ7" s="61">
        <v>45265.324888226525</v>
      </c>
      <c r="EA7" s="61">
        <v>45191.177918424757</v>
      </c>
    </row>
    <row r="8" spans="1:131">
      <c r="A8" s="61" t="s">
        <v>122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2">
        <v>66018.321420862761</v>
      </c>
      <c r="AD8" s="61"/>
      <c r="AE8" s="61"/>
      <c r="AF8" s="61"/>
      <c r="AG8" s="61"/>
      <c r="AH8" s="61">
        <v>75264.490500561369</v>
      </c>
      <c r="AI8" s="61">
        <v>76278.133150268754</v>
      </c>
      <c r="AJ8" s="70"/>
      <c r="AK8" s="62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>
        <v>88902.543684235585</v>
      </c>
      <c r="BB8" s="61"/>
      <c r="BC8" s="61"/>
      <c r="BD8" s="61"/>
      <c r="BE8" s="61"/>
      <c r="BF8" s="61">
        <v>103123.70534104924</v>
      </c>
      <c r="BG8" s="61">
        <v>104455.74397732641</v>
      </c>
      <c r="BH8" s="70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>
        <v>64477.35978835979</v>
      </c>
      <c r="BZ8" s="61"/>
      <c r="CA8" s="61"/>
      <c r="CB8" s="61"/>
      <c r="CC8" s="61"/>
      <c r="CD8" s="61">
        <v>73950.631522439333</v>
      </c>
      <c r="CE8" s="61">
        <v>74868.011177666063</v>
      </c>
      <c r="CF8" s="70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>
        <v>54051.296578825706</v>
      </c>
      <c r="CX8" s="61"/>
      <c r="CY8" s="61"/>
      <c r="CZ8" s="61"/>
      <c r="DA8" s="61"/>
      <c r="DB8" s="61">
        <v>63060.028842398882</v>
      </c>
      <c r="DC8" s="61">
        <v>64233.57193389388</v>
      </c>
      <c r="DD8" s="70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>
        <v>37358.286018075494</v>
      </c>
      <c r="DV8" s="61"/>
      <c r="DW8" s="61"/>
      <c r="DX8" s="61"/>
      <c r="DY8" s="61"/>
      <c r="DZ8" s="61">
        <v>42238.479380318568</v>
      </c>
      <c r="EA8" s="61">
        <v>42362.558868335145</v>
      </c>
    </row>
    <row r="9" spans="1:131">
      <c r="A9" s="61" t="s">
        <v>135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2">
        <v>70666.683512117597</v>
      </c>
      <c r="AD9" s="61"/>
      <c r="AE9" s="61"/>
      <c r="AF9" s="61"/>
      <c r="AG9" s="61"/>
      <c r="AH9" s="61">
        <v>82996.659010378717</v>
      </c>
      <c r="AI9" s="61">
        <v>86082.532849247844</v>
      </c>
      <c r="AJ9" s="70"/>
      <c r="AK9" s="62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>
        <v>93122.687916192954</v>
      </c>
      <c r="BB9" s="61"/>
      <c r="BC9" s="61"/>
      <c r="BD9" s="61"/>
      <c r="BE9" s="61"/>
      <c r="BF9" s="61">
        <v>111030.66194462331</v>
      </c>
      <c r="BG9" s="61">
        <v>114517.61591263651</v>
      </c>
      <c r="BH9" s="70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>
        <v>69601.454214210375</v>
      </c>
      <c r="BZ9" s="61"/>
      <c r="CA9" s="61"/>
      <c r="CB9" s="61"/>
      <c r="CC9" s="61"/>
      <c r="CD9" s="61">
        <v>82010.667893123085</v>
      </c>
      <c r="CE9" s="61">
        <v>84547.266295025722</v>
      </c>
      <c r="CF9" s="70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>
        <v>56640.983184495533</v>
      </c>
      <c r="CX9" s="61"/>
      <c r="CY9" s="61"/>
      <c r="CZ9" s="61"/>
      <c r="DA9" s="61"/>
      <c r="DB9" s="61">
        <v>66100.023131195863</v>
      </c>
      <c r="DC9" s="61">
        <v>68915.548025661876</v>
      </c>
      <c r="DD9" s="70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>
        <v>42806.336693548386</v>
      </c>
      <c r="DV9" s="61"/>
      <c r="DW9" s="61"/>
      <c r="DX9" s="61"/>
      <c r="DY9" s="61"/>
      <c r="DZ9" s="61">
        <v>49723.660359508045</v>
      </c>
      <c r="EA9" s="61">
        <v>50874.601405622489</v>
      </c>
    </row>
    <row r="10" spans="1:131">
      <c r="A10" s="21" t="s">
        <v>45</v>
      </c>
      <c r="B10" s="36">
        <v>18256</v>
      </c>
      <c r="C10" s="36">
        <v>19440</v>
      </c>
      <c r="D10" s="36">
        <v>20810</v>
      </c>
      <c r="E10" s="36">
        <v>22866</v>
      </c>
      <c r="F10" s="36">
        <v>25207</v>
      </c>
      <c r="G10" s="36">
        <v>26938</v>
      </c>
      <c r="H10" s="36">
        <v>28160</v>
      </c>
      <c r="I10" s="36">
        <v>30234</v>
      </c>
      <c r="J10" s="36">
        <v>32213</v>
      </c>
      <c r="K10" s="36">
        <v>33841</v>
      </c>
      <c r="L10" s="36">
        <v>35698</v>
      </c>
      <c r="M10" s="22">
        <v>37890</v>
      </c>
      <c r="N10" s="22">
        <v>39963</v>
      </c>
      <c r="O10" s="22">
        <v>41740</v>
      </c>
      <c r="P10" s="22">
        <v>42591</v>
      </c>
      <c r="Q10" s="22">
        <v>43524</v>
      </c>
      <c r="R10" s="22">
        <v>44608.805799116009</v>
      </c>
      <c r="S10" s="22">
        <v>46483</v>
      </c>
      <c r="T10" s="22">
        <v>47718</v>
      </c>
      <c r="U10" s="22">
        <v>49828</v>
      </c>
      <c r="V10" s="22">
        <v>51543</v>
      </c>
      <c r="W10" s="22">
        <v>52994.964091439957</v>
      </c>
      <c r="X10" s="23">
        <v>55021.802368209646</v>
      </c>
      <c r="Y10" s="23">
        <v>57490</v>
      </c>
      <c r="Z10" s="37">
        <v>59423</v>
      </c>
      <c r="AA10" s="37">
        <v>60837.669565208664</v>
      </c>
      <c r="AB10" s="37">
        <v>61616.336150159434</v>
      </c>
      <c r="AC10" s="37">
        <v>63768</v>
      </c>
      <c r="AD10" s="37">
        <v>65961</v>
      </c>
      <c r="AE10" s="37">
        <v>68583.393340224735</v>
      </c>
      <c r="AF10" s="37">
        <v>71257.563688391645</v>
      </c>
      <c r="AG10" s="37">
        <v>72997.74021498111</v>
      </c>
      <c r="AH10" s="37">
        <v>73458.825806119945</v>
      </c>
      <c r="AI10" s="37">
        <v>73954.52597053448</v>
      </c>
      <c r="AJ10" s="38">
        <v>36368</v>
      </c>
      <c r="AK10" s="22">
        <v>48460</v>
      </c>
      <c r="AL10" s="22">
        <v>51124</v>
      </c>
      <c r="AM10" s="22">
        <v>53570</v>
      </c>
      <c r="AN10" s="22">
        <v>54464</v>
      </c>
      <c r="AO10" s="22">
        <v>56075</v>
      </c>
      <c r="AP10" s="22">
        <v>57394.506389900089</v>
      </c>
      <c r="AQ10" s="22">
        <v>59701.345941559688</v>
      </c>
      <c r="AR10" s="22">
        <v>61455</v>
      </c>
      <c r="AS10" s="39">
        <v>64240.446451357398</v>
      </c>
      <c r="AT10" s="22">
        <v>67138</v>
      </c>
      <c r="AU10" s="22">
        <v>69448.371124718091</v>
      </c>
      <c r="AV10" s="23">
        <v>72463.44670541989</v>
      </c>
      <c r="AW10" s="23">
        <v>76286</v>
      </c>
      <c r="AX10" s="37">
        <v>79483</v>
      </c>
      <c r="AY10" s="23">
        <v>81567.650695258868</v>
      </c>
      <c r="AZ10" s="23">
        <v>82942.049943121092</v>
      </c>
      <c r="BA10" s="37">
        <v>86321.058412905535</v>
      </c>
      <c r="BB10" s="37">
        <v>89836.172455906941</v>
      </c>
      <c r="BC10" s="37">
        <v>94458.65202945497</v>
      </c>
      <c r="BD10" s="303">
        <v>99108.975061168385</v>
      </c>
      <c r="BE10" s="303">
        <v>101919.63016437185</v>
      </c>
      <c r="BF10" s="303">
        <v>102686.2313987228</v>
      </c>
      <c r="BG10" s="303">
        <v>103212.32795590247</v>
      </c>
      <c r="BH10" s="38">
        <v>28052</v>
      </c>
      <c r="BI10" s="22">
        <v>37140</v>
      </c>
      <c r="BJ10" s="22">
        <v>39234</v>
      </c>
      <c r="BK10" s="22">
        <v>41002</v>
      </c>
      <c r="BL10" s="22">
        <v>41670</v>
      </c>
      <c r="BM10" s="22">
        <v>42448</v>
      </c>
      <c r="BN10" s="22">
        <v>43435.160756283149</v>
      </c>
      <c r="BO10" s="22">
        <v>45241.713352079714</v>
      </c>
      <c r="BP10" s="22">
        <v>46324</v>
      </c>
      <c r="BQ10" s="39">
        <v>48358</v>
      </c>
      <c r="BR10" s="22">
        <v>50097</v>
      </c>
      <c r="BS10" s="22">
        <v>51922.915722616272</v>
      </c>
      <c r="BT10" s="23">
        <v>54140.259379686548</v>
      </c>
      <c r="BU10" s="23">
        <v>56559</v>
      </c>
      <c r="BV10" s="37">
        <v>58750</v>
      </c>
      <c r="BW10" s="37">
        <v>60097.370107270799</v>
      </c>
      <c r="BX10" s="37">
        <v>60796.740688302671</v>
      </c>
      <c r="BY10" s="41">
        <v>63075.531732717391</v>
      </c>
      <c r="BZ10" s="37">
        <v>65658.666326830586</v>
      </c>
      <c r="CA10" s="37">
        <v>68544.765187096666</v>
      </c>
      <c r="CB10" s="37">
        <v>71702.421849274222</v>
      </c>
      <c r="CC10" s="37">
        <v>73623.308864481543</v>
      </c>
      <c r="CD10" s="37">
        <v>73705.508191769768</v>
      </c>
      <c r="CE10" s="37">
        <v>73898.324697466276</v>
      </c>
      <c r="CF10" s="38">
        <v>23253</v>
      </c>
      <c r="CG10" s="22">
        <v>31111</v>
      </c>
      <c r="CH10" s="22">
        <v>32946</v>
      </c>
      <c r="CI10" s="22">
        <v>34377</v>
      </c>
      <c r="CJ10" s="22">
        <v>35106</v>
      </c>
      <c r="CK10" s="22">
        <v>35792</v>
      </c>
      <c r="CL10" s="22">
        <v>36742.736580706784</v>
      </c>
      <c r="CM10" s="22">
        <v>38090.216224764277</v>
      </c>
      <c r="CN10" s="22">
        <v>38904</v>
      </c>
      <c r="CO10" s="22">
        <v>40449</v>
      </c>
      <c r="CP10" s="22">
        <v>41683</v>
      </c>
      <c r="CQ10" s="22">
        <v>42918.678463863936</v>
      </c>
      <c r="CR10" s="23">
        <v>44817.507131080311</v>
      </c>
      <c r="CS10" s="23">
        <v>46730</v>
      </c>
      <c r="CT10" s="23">
        <v>48730</v>
      </c>
      <c r="CU10" s="23">
        <v>50091.807203991986</v>
      </c>
      <c r="CV10" s="23">
        <v>51124.808568856286</v>
      </c>
      <c r="CW10" s="41">
        <v>53205.00759530189</v>
      </c>
      <c r="CX10" s="37">
        <v>55452.713162613531</v>
      </c>
      <c r="CY10" s="37">
        <v>57731.125719681972</v>
      </c>
      <c r="CZ10" s="37">
        <v>60126</v>
      </c>
      <c r="DA10" s="37">
        <v>61770.329631887864</v>
      </c>
      <c r="DB10" s="37">
        <v>62023.818978570336</v>
      </c>
      <c r="DC10" s="37">
        <v>62423.735593316022</v>
      </c>
      <c r="DD10" s="40">
        <v>17967</v>
      </c>
      <c r="DE10" s="22">
        <v>23453</v>
      </c>
      <c r="DF10" s="22">
        <v>24581</v>
      </c>
      <c r="DG10" s="22">
        <v>25781</v>
      </c>
      <c r="DH10" s="22">
        <v>26589</v>
      </c>
      <c r="DI10" s="22">
        <v>26684</v>
      </c>
      <c r="DJ10" s="22">
        <v>26900.608695652172</v>
      </c>
      <c r="DK10" s="22">
        <v>28889.818216924708</v>
      </c>
      <c r="DL10" s="22">
        <v>29350</v>
      </c>
      <c r="DM10" s="39">
        <v>30300</v>
      </c>
      <c r="DN10" s="22">
        <v>31207</v>
      </c>
      <c r="DO10" s="24">
        <v>31772.463699529038</v>
      </c>
      <c r="DP10" s="24">
        <v>32524.642016224254</v>
      </c>
      <c r="DQ10" s="24">
        <v>34137</v>
      </c>
      <c r="DR10" s="24">
        <v>35391</v>
      </c>
      <c r="DS10" s="24">
        <v>35959.547436858011</v>
      </c>
      <c r="DT10" s="24">
        <v>36366.152759936042</v>
      </c>
      <c r="DU10" s="23">
        <v>37818.745286345911</v>
      </c>
      <c r="DV10" s="37">
        <v>39048.138492190672</v>
      </c>
      <c r="DW10" s="37">
        <v>40829.383147487664</v>
      </c>
      <c r="DX10" s="37">
        <v>42682.589636695782</v>
      </c>
      <c r="DY10" s="37">
        <v>43959.861102362491</v>
      </c>
      <c r="DZ10" s="9">
        <v>44173.296970433912</v>
      </c>
      <c r="EA10" s="37">
        <v>44395.283326791636</v>
      </c>
    </row>
    <row r="11" spans="1:131">
      <c r="A11" s="22" t="s">
        <v>86</v>
      </c>
      <c r="B11" s="42" t="e">
        <f t="shared" ref="B11:AG11" si="0">(B10/B6)*100</f>
        <v>#DIV/0!</v>
      </c>
      <c r="C11" s="42">
        <f t="shared" si="0"/>
        <v>93.813338480841608</v>
      </c>
      <c r="D11" s="42">
        <f t="shared" si="0"/>
        <v>92.658978880607762</v>
      </c>
      <c r="E11" s="42">
        <f t="shared" si="0"/>
        <v>91.463669483747879</v>
      </c>
      <c r="F11" s="42">
        <f t="shared" si="0"/>
        <v>91.523757299224542</v>
      </c>
      <c r="G11" s="42">
        <f t="shared" si="0"/>
        <v>89.545961023779554</v>
      </c>
      <c r="H11" s="42">
        <f t="shared" si="0"/>
        <v>93.299999999999912</v>
      </c>
      <c r="I11" s="42">
        <f t="shared" si="0"/>
        <v>93.849752586934642</v>
      </c>
      <c r="J11" s="42">
        <f t="shared" si="0"/>
        <v>94.056849543770625</v>
      </c>
      <c r="K11" s="42">
        <f t="shared" si="0"/>
        <v>93.273302404212373</v>
      </c>
      <c r="L11" s="42">
        <f t="shared" si="0"/>
        <v>93.170593318612475</v>
      </c>
      <c r="M11" s="42">
        <f t="shared" si="0"/>
        <v>93.908516356779998</v>
      </c>
      <c r="N11" s="42">
        <f t="shared" si="0"/>
        <v>93.98974167394752</v>
      </c>
      <c r="O11" s="42">
        <f t="shared" si="0"/>
        <v>93.275821020680553</v>
      </c>
      <c r="P11" s="42">
        <f t="shared" si="0"/>
        <v>92.249519992995459</v>
      </c>
      <c r="Q11" s="42">
        <f t="shared" si="0"/>
        <v>92.768975042876491</v>
      </c>
      <c r="R11" s="42">
        <f t="shared" si="0"/>
        <v>92.548784902588451</v>
      </c>
      <c r="S11" s="42">
        <f t="shared" si="0"/>
        <v>92.841600815911022</v>
      </c>
      <c r="T11" s="42">
        <f t="shared" si="0"/>
        <v>92.648254225639278</v>
      </c>
      <c r="U11" s="42">
        <f t="shared" si="0"/>
        <v>93.274180565695147</v>
      </c>
      <c r="V11" s="42">
        <f t="shared" si="0"/>
        <v>93.815183560546771</v>
      </c>
      <c r="W11" s="42">
        <f t="shared" si="0"/>
        <v>93.111425440141687</v>
      </c>
      <c r="X11" s="42">
        <f t="shared" si="0"/>
        <v>93.132257882968347</v>
      </c>
      <c r="Y11" s="42">
        <f t="shared" si="0"/>
        <v>94.062402853449825</v>
      </c>
      <c r="Z11" s="42">
        <f t="shared" si="0"/>
        <v>93.714267066778206</v>
      </c>
      <c r="AA11" s="42">
        <f t="shared" si="0"/>
        <v>93.475290641714054</v>
      </c>
      <c r="AB11" s="42">
        <f t="shared" si="0"/>
        <v>92.955544565123049</v>
      </c>
      <c r="AC11" s="44">
        <f t="shared" si="0"/>
        <v>95.813617278409154</v>
      </c>
      <c r="AD11" s="42">
        <f t="shared" si="0"/>
        <v>94.509966735228701</v>
      </c>
      <c r="AE11" s="42">
        <f t="shared" si="0"/>
        <v>96.548010311913913</v>
      </c>
      <c r="AF11" s="42">
        <f t="shared" si="0"/>
        <v>96.893252534644063</v>
      </c>
      <c r="AG11" s="42">
        <f t="shared" si="0"/>
        <v>96.121306610317774</v>
      </c>
      <c r="AH11" s="42">
        <f t="shared" ref="AH11:BF11" si="1">(AH10/AH6)*100</f>
        <v>95.406119317772934</v>
      </c>
      <c r="AI11" s="42">
        <f t="shared" si="1"/>
        <v>94.890649525023107</v>
      </c>
      <c r="AJ11" s="43" t="e">
        <f t="shared" si="1"/>
        <v>#DIV/0!</v>
      </c>
      <c r="AK11" s="42">
        <f t="shared" si="1"/>
        <v>95.319102895250325</v>
      </c>
      <c r="AL11" s="42">
        <f t="shared" si="1"/>
        <v>92.627363805321153</v>
      </c>
      <c r="AM11" s="42">
        <f t="shared" si="1"/>
        <v>94.628750930303013</v>
      </c>
      <c r="AN11" s="42">
        <f t="shared" si="1"/>
        <v>93.729965588707913</v>
      </c>
      <c r="AO11" s="42">
        <f t="shared" si="1"/>
        <v>94.079256425743239</v>
      </c>
      <c r="AP11" s="42">
        <f t="shared" si="1"/>
        <v>94.476091304326431</v>
      </c>
      <c r="AQ11" s="42">
        <f t="shared" si="1"/>
        <v>94.51605423531548</v>
      </c>
      <c r="AR11" s="42">
        <f t="shared" si="1"/>
        <v>94.424399608429709</v>
      </c>
      <c r="AS11" s="42">
        <f t="shared" si="1"/>
        <v>94.903894890467427</v>
      </c>
      <c r="AT11" s="42">
        <f t="shared" si="1"/>
        <v>95.900468517883681</v>
      </c>
      <c r="AU11" s="42">
        <f t="shared" si="1"/>
        <v>95.420339287487081</v>
      </c>
      <c r="AV11" s="42">
        <f t="shared" si="1"/>
        <v>95.149753498876947</v>
      </c>
      <c r="AW11" s="42">
        <f t="shared" si="1"/>
        <v>95.792156911988144</v>
      </c>
      <c r="AX11" s="42">
        <f t="shared" si="1"/>
        <v>96.048481626043767</v>
      </c>
      <c r="AY11" s="42">
        <f t="shared" si="1"/>
        <v>95.429875883370485</v>
      </c>
      <c r="AZ11" s="42">
        <f t="shared" si="1"/>
        <v>94.909562350414305</v>
      </c>
      <c r="BA11" s="44">
        <f t="shared" si="1"/>
        <v>96.975967837301681</v>
      </c>
      <c r="BB11" s="42">
        <f t="shared" si="1"/>
        <v>96.400881758168012</v>
      </c>
      <c r="BC11" s="42">
        <f t="shared" si="1"/>
        <v>98.195596835415827</v>
      </c>
      <c r="BD11" s="42">
        <f t="shared" si="1"/>
        <v>99.043886168534272</v>
      </c>
      <c r="BE11" s="42">
        <f t="shared" si="1"/>
        <v>97.935410370050775</v>
      </c>
      <c r="BF11" s="42">
        <f t="shared" si="1"/>
        <v>97.550473089453348</v>
      </c>
      <c r="BG11" s="42"/>
      <c r="BH11" s="43" t="e">
        <f t="shared" ref="BH11:CM11" si="2">(BH10/BH6)*100</f>
        <v>#DIV/0!</v>
      </c>
      <c r="BI11" s="42">
        <f t="shared" si="2"/>
        <v>96.899128811070568</v>
      </c>
      <c r="BJ11" s="42">
        <f t="shared" si="2"/>
        <v>96.593452133057411</v>
      </c>
      <c r="BK11" s="42">
        <f t="shared" si="2"/>
        <v>96.091537197203763</v>
      </c>
      <c r="BL11" s="42">
        <f t="shared" si="2"/>
        <v>95.211187394225135</v>
      </c>
      <c r="BM11" s="42">
        <f t="shared" si="2"/>
        <v>94.619053987784767</v>
      </c>
      <c r="BN11" s="42">
        <f t="shared" si="2"/>
        <v>94.722914803696483</v>
      </c>
      <c r="BO11" s="42">
        <f t="shared" si="2"/>
        <v>95.067043483937312</v>
      </c>
      <c r="BP11" s="42">
        <f t="shared" si="2"/>
        <v>94.894316141945708</v>
      </c>
      <c r="BQ11" s="42">
        <f t="shared" si="2"/>
        <v>95.540847574829584</v>
      </c>
      <c r="BR11" s="42">
        <f t="shared" si="2"/>
        <v>95.884931192221572</v>
      </c>
      <c r="BS11" s="42">
        <f t="shared" si="2"/>
        <v>96.360551663626765</v>
      </c>
      <c r="BT11" s="42">
        <f t="shared" si="2"/>
        <v>96.435373183751352</v>
      </c>
      <c r="BU11" s="42">
        <f t="shared" si="2"/>
        <v>96.880781089414185</v>
      </c>
      <c r="BV11" s="42">
        <f t="shared" si="2"/>
        <v>96.982402852520721</v>
      </c>
      <c r="BW11" s="42">
        <f t="shared" si="2"/>
        <v>96.446451987732786</v>
      </c>
      <c r="BX11" s="44">
        <f t="shared" si="2"/>
        <v>96.062264854680961</v>
      </c>
      <c r="BY11" s="44">
        <f t="shared" si="2"/>
        <v>97.418368883807645</v>
      </c>
      <c r="BZ11" s="42">
        <f t="shared" si="2"/>
        <v>97.530801500668105</v>
      </c>
      <c r="CA11" s="42">
        <f t="shared" si="2"/>
        <v>98.350519745851543</v>
      </c>
      <c r="CB11" s="42">
        <f t="shared" si="2"/>
        <v>98.823036975365028</v>
      </c>
      <c r="CC11" s="42">
        <f t="shared" si="2"/>
        <v>98.052549917035975</v>
      </c>
      <c r="CD11" s="42">
        <f t="shared" si="2"/>
        <v>97.307271754390754</v>
      </c>
      <c r="CE11" s="42">
        <f t="shared" si="2"/>
        <v>96.517937497163516</v>
      </c>
      <c r="CF11" s="43" t="e">
        <f t="shared" si="2"/>
        <v>#DIV/0!</v>
      </c>
      <c r="CG11" s="42">
        <f t="shared" si="2"/>
        <v>97.424388207156952</v>
      </c>
      <c r="CH11" s="42">
        <f t="shared" si="2"/>
        <v>97.604117615203307</v>
      </c>
      <c r="CI11" s="42">
        <f t="shared" si="2"/>
        <v>96.855663577029787</v>
      </c>
      <c r="CJ11" s="42">
        <f t="shared" si="2"/>
        <v>96.199244792668694</v>
      </c>
      <c r="CK11" s="42">
        <f t="shared" si="2"/>
        <v>95.463153121916093</v>
      </c>
      <c r="CL11" s="42">
        <f t="shared" si="2"/>
        <v>95.838630125769626</v>
      </c>
      <c r="CM11" s="42">
        <f t="shared" si="2"/>
        <v>95.987637272685419</v>
      </c>
      <c r="CN11" s="42">
        <f t="shared" ref="CN11:DS11" si="3">(CN10/CN6)*100</f>
        <v>95.999237174149826</v>
      </c>
      <c r="CO11" s="42">
        <f t="shared" si="3"/>
        <v>96.449520721064431</v>
      </c>
      <c r="CP11" s="42">
        <f t="shared" si="3"/>
        <v>96.786402582023356</v>
      </c>
      <c r="CQ11" s="42">
        <f t="shared" si="3"/>
        <v>97.008767573575255</v>
      </c>
      <c r="CR11" s="42">
        <f t="shared" si="3"/>
        <v>97.296301590511987</v>
      </c>
      <c r="CS11" s="42">
        <f t="shared" si="3"/>
        <v>97.228579751154754</v>
      </c>
      <c r="CT11" s="42">
        <f t="shared" si="3"/>
        <v>97.209200263320625</v>
      </c>
      <c r="CU11" s="42">
        <f t="shared" si="3"/>
        <v>96.340775815770257</v>
      </c>
      <c r="CV11" s="42">
        <f t="shared" si="3"/>
        <v>96.281657482583952</v>
      </c>
      <c r="CW11" s="44">
        <f t="shared" si="3"/>
        <v>97.897689477546706</v>
      </c>
      <c r="CX11" s="42">
        <f t="shared" si="3"/>
        <v>97.852704701339917</v>
      </c>
      <c r="CY11" s="42">
        <f t="shared" si="3"/>
        <v>98.535212233843623</v>
      </c>
      <c r="CZ11" s="42">
        <f t="shared" si="3"/>
        <v>98.668377692056879</v>
      </c>
      <c r="DA11" s="42">
        <f t="shared" si="3"/>
        <v>97.914626419038441</v>
      </c>
      <c r="DB11" s="42">
        <f t="shared" si="3"/>
        <v>97.374926047050209</v>
      </c>
      <c r="DC11" s="42">
        <f t="shared" si="3"/>
        <v>96.492174042122116</v>
      </c>
      <c r="DD11" s="43" t="e">
        <f t="shared" si="3"/>
        <v>#DIV/0!</v>
      </c>
      <c r="DE11" s="42">
        <f t="shared" si="3"/>
        <v>99.059871562821712</v>
      </c>
      <c r="DF11" s="42">
        <f t="shared" si="3"/>
        <v>99.703828729892251</v>
      </c>
      <c r="DG11" s="42">
        <f t="shared" si="3"/>
        <v>99.50580804030966</v>
      </c>
      <c r="DH11" s="42">
        <f t="shared" si="3"/>
        <v>99.649507630688944</v>
      </c>
      <c r="DI11" s="42">
        <f t="shared" si="3"/>
        <v>97.188228438228435</v>
      </c>
      <c r="DJ11" s="42">
        <f t="shared" si="3"/>
        <v>95.264103644047751</v>
      </c>
      <c r="DK11" s="42">
        <f t="shared" si="3"/>
        <v>98.755285493342768</v>
      </c>
      <c r="DL11" s="42">
        <f t="shared" si="3"/>
        <v>98.019361755781986</v>
      </c>
      <c r="DM11" s="42">
        <f t="shared" si="3"/>
        <v>97.115384615384613</v>
      </c>
      <c r="DN11" s="42">
        <f t="shared" si="3"/>
        <v>97.604228567854122</v>
      </c>
      <c r="DO11" s="42">
        <f t="shared" si="3"/>
        <v>98.229858603717858</v>
      </c>
      <c r="DP11" s="42">
        <f t="shared" si="3"/>
        <v>97.327430341770366</v>
      </c>
      <c r="DQ11" s="42">
        <f t="shared" si="3"/>
        <v>98.343512330029952</v>
      </c>
      <c r="DR11" s="42">
        <f t="shared" si="3"/>
        <v>97.252067818966225</v>
      </c>
      <c r="DS11" s="42">
        <f t="shared" si="3"/>
        <v>97.599160768323273</v>
      </c>
      <c r="DT11" s="42">
        <f t="shared" ref="DT11:EA11" si="4">(DT10/DT6)*100</f>
        <v>97.390028205728981</v>
      </c>
      <c r="DU11" s="42">
        <f t="shared" si="4"/>
        <v>98.278398508150673</v>
      </c>
      <c r="DV11" s="42">
        <f t="shared" si="4"/>
        <v>97.749054939719088</v>
      </c>
      <c r="DW11" s="42">
        <f t="shared" si="4"/>
        <v>98.363011163260978</v>
      </c>
      <c r="DX11" s="42">
        <f t="shared" si="4"/>
        <v>99.198854720686995</v>
      </c>
      <c r="DY11" s="42">
        <f t="shared" si="4"/>
        <v>99.693154980438919</v>
      </c>
      <c r="DZ11" s="42">
        <f t="shared" si="4"/>
        <v>99.173330751745596</v>
      </c>
      <c r="EA11" s="42">
        <f t="shared" si="4"/>
        <v>99.124906559421817</v>
      </c>
    </row>
    <row r="12" spans="1:131">
      <c r="A12" s="21" t="s">
        <v>46</v>
      </c>
      <c r="B12" s="45">
        <v>17888</v>
      </c>
      <c r="C12" s="45">
        <v>19242</v>
      </c>
      <c r="D12" s="45">
        <v>19737</v>
      </c>
      <c r="E12" s="45">
        <v>21971</v>
      </c>
      <c r="F12" s="45">
        <v>23125</v>
      </c>
      <c r="G12" s="45">
        <v>24696</v>
      </c>
      <c r="H12" s="45">
        <v>25781</v>
      </c>
      <c r="I12" s="45">
        <v>28557</v>
      </c>
      <c r="J12" s="45">
        <v>31339</v>
      </c>
      <c r="K12" s="45">
        <v>32328</v>
      </c>
      <c r="L12" s="45">
        <v>33545</v>
      </c>
      <c r="M12" s="22">
        <v>35743</v>
      </c>
      <c r="N12" s="22">
        <v>36040</v>
      </c>
      <c r="O12" s="22">
        <v>39344</v>
      </c>
      <c r="P12" s="22">
        <v>39802</v>
      </c>
      <c r="Q12" s="22">
        <v>40485.560198122803</v>
      </c>
      <c r="R12" s="22">
        <v>42193.815169827001</v>
      </c>
      <c r="S12" s="22">
        <v>44489</v>
      </c>
      <c r="T12" s="22">
        <v>44298</v>
      </c>
      <c r="U12" s="22">
        <v>45800</v>
      </c>
      <c r="V12" s="22">
        <v>46761.688613865997</v>
      </c>
      <c r="W12" s="22">
        <v>50534.153760657675</v>
      </c>
      <c r="X12" s="23">
        <v>52039.97223588395</v>
      </c>
      <c r="Y12" s="23">
        <v>56135.969781060703</v>
      </c>
      <c r="Z12" s="37">
        <v>54461.246729110404</v>
      </c>
      <c r="AA12" s="6">
        <v>58432.174171335617</v>
      </c>
      <c r="AB12" s="6">
        <v>58328.88671713166</v>
      </c>
      <c r="AC12" s="6">
        <v>62028.635800085802</v>
      </c>
      <c r="AD12" s="6">
        <v>64591</v>
      </c>
      <c r="AE12" s="6">
        <v>68680.859703111026</v>
      </c>
      <c r="AF12" s="6">
        <v>71865.235534788007</v>
      </c>
      <c r="AG12" s="6">
        <v>71510.987761160097</v>
      </c>
      <c r="AH12" s="6">
        <v>71754.306204442197</v>
      </c>
      <c r="AI12" s="6">
        <v>72751.781656992593</v>
      </c>
      <c r="AJ12" s="38">
        <v>33541</v>
      </c>
      <c r="AK12" s="22">
        <v>45929</v>
      </c>
      <c r="AL12" s="22">
        <v>46670</v>
      </c>
      <c r="AM12" s="22">
        <v>51057</v>
      </c>
      <c r="AN12" s="22">
        <v>51667</v>
      </c>
      <c r="AO12" s="22">
        <v>52414</v>
      </c>
      <c r="AP12" s="22">
        <v>55063</v>
      </c>
      <c r="AQ12" s="22">
        <v>57686</v>
      </c>
      <c r="AR12" s="22">
        <v>57522</v>
      </c>
      <c r="AS12" s="22">
        <v>59196.976891961589</v>
      </c>
      <c r="AT12" s="22">
        <v>60572.003430278703</v>
      </c>
      <c r="AU12" s="22">
        <v>66963.281669563396</v>
      </c>
      <c r="AV12" s="23">
        <v>69257.698881037868</v>
      </c>
      <c r="AW12" s="23">
        <v>73184.757788061819</v>
      </c>
      <c r="AX12" s="37">
        <v>71877.117098156814</v>
      </c>
      <c r="AY12" s="1">
        <v>77823.088438116596</v>
      </c>
      <c r="AZ12" s="1">
        <v>77549.230442665023</v>
      </c>
      <c r="BA12" s="1">
        <v>84049.987527912759</v>
      </c>
      <c r="BB12" s="6">
        <v>88588.587095514478</v>
      </c>
      <c r="BC12" s="6">
        <v>93877.628663567186</v>
      </c>
      <c r="BD12" s="6">
        <v>99564.45238472725</v>
      </c>
      <c r="BE12" s="6">
        <v>99986.842366827506</v>
      </c>
      <c r="BF12" s="37">
        <v>99641.217242563493</v>
      </c>
      <c r="BG12" s="6">
        <v>101278.95544807122</v>
      </c>
      <c r="BH12" s="38">
        <v>26821</v>
      </c>
      <c r="BI12" s="22">
        <v>36090</v>
      </c>
      <c r="BJ12" s="22">
        <v>36223</v>
      </c>
      <c r="BK12" s="22">
        <v>39721</v>
      </c>
      <c r="BL12" s="22">
        <v>40006</v>
      </c>
      <c r="BM12" s="22">
        <v>40435</v>
      </c>
      <c r="BN12" s="22">
        <v>42331</v>
      </c>
      <c r="BO12" s="22">
        <v>44582</v>
      </c>
      <c r="BP12" s="22">
        <v>44143</v>
      </c>
      <c r="BQ12" s="22">
        <v>45412.643162901484</v>
      </c>
      <c r="BR12" s="22">
        <v>45901.420421779803</v>
      </c>
      <c r="BS12" s="22">
        <v>49921.200220459599</v>
      </c>
      <c r="BT12" s="23">
        <v>51336.211359944566</v>
      </c>
      <c r="BU12" s="23">
        <v>54709.460792373888</v>
      </c>
      <c r="BV12" s="37">
        <v>54229.964289824042</v>
      </c>
      <c r="BW12" s="37">
        <v>58334.739781613993</v>
      </c>
      <c r="BX12" s="37">
        <v>58113.351103337816</v>
      </c>
      <c r="BY12" s="11">
        <v>61540.992724130585</v>
      </c>
      <c r="BZ12" s="6">
        <v>65312.081811201628</v>
      </c>
      <c r="CA12" s="6">
        <v>68395.397532488263</v>
      </c>
      <c r="CB12" s="6">
        <v>72310.777965152549</v>
      </c>
      <c r="CC12" s="6">
        <v>72712.041995601554</v>
      </c>
      <c r="CD12" s="37">
        <v>72720.743155680408</v>
      </c>
      <c r="CE12" s="6">
        <v>74325.366958983883</v>
      </c>
      <c r="CF12" s="38">
        <v>22155</v>
      </c>
      <c r="CG12" s="22">
        <v>30358</v>
      </c>
      <c r="CH12" s="22">
        <v>30727</v>
      </c>
      <c r="CI12" s="22">
        <v>33313</v>
      </c>
      <c r="CJ12" s="22">
        <v>33550</v>
      </c>
      <c r="CK12" s="22">
        <v>34052</v>
      </c>
      <c r="CL12" s="22">
        <v>35235</v>
      </c>
      <c r="CM12" s="22">
        <v>37438</v>
      </c>
      <c r="CN12" s="22">
        <v>36790</v>
      </c>
      <c r="CO12" s="22">
        <v>38430.115905986793</v>
      </c>
      <c r="CP12" s="22">
        <v>38947.793203990703</v>
      </c>
      <c r="CQ12" s="22">
        <v>41950.664578276919</v>
      </c>
      <c r="CR12" s="23">
        <v>43334.503200444786</v>
      </c>
      <c r="CS12" s="23">
        <v>45912.028553496064</v>
      </c>
      <c r="CT12" s="23">
        <v>45379.119087944993</v>
      </c>
      <c r="CU12" s="23">
        <v>48543.331699509283</v>
      </c>
      <c r="CV12" s="23">
        <v>48232.765571118092</v>
      </c>
      <c r="CW12" s="11">
        <v>50524.854333370924</v>
      </c>
      <c r="CX12" s="6">
        <v>51590.549218474247</v>
      </c>
      <c r="CY12" s="6">
        <v>55824.350686460741</v>
      </c>
      <c r="CZ12" s="6">
        <v>58815.358398555087</v>
      </c>
      <c r="DA12" s="6">
        <v>58618.018213909141</v>
      </c>
      <c r="DB12" s="37">
        <v>58534.230897084235</v>
      </c>
      <c r="DC12" s="6">
        <v>59541.282097691896</v>
      </c>
      <c r="DD12" s="40">
        <v>17858</v>
      </c>
      <c r="DE12" s="22">
        <v>23438</v>
      </c>
      <c r="DF12" s="22">
        <v>23549</v>
      </c>
      <c r="DG12" s="22">
        <v>25467</v>
      </c>
      <c r="DH12" s="22">
        <v>25712</v>
      </c>
      <c r="DI12" s="22">
        <v>26261</v>
      </c>
      <c r="DJ12" s="22">
        <v>27321</v>
      </c>
      <c r="DK12" s="22">
        <v>28830</v>
      </c>
      <c r="DL12" s="22">
        <v>28427</v>
      </c>
      <c r="DM12" s="22">
        <v>28974.875018277311</v>
      </c>
      <c r="DN12" s="22">
        <v>29692.106727280501</v>
      </c>
      <c r="DO12" s="24">
        <v>31265.05096815385</v>
      </c>
      <c r="DP12" s="24">
        <v>31860.898931495496</v>
      </c>
      <c r="DQ12" s="24">
        <v>33585.459483514096</v>
      </c>
      <c r="DR12" s="6">
        <v>33160.572499256508</v>
      </c>
      <c r="DS12" s="6">
        <v>35460.839349230766</v>
      </c>
      <c r="DT12" s="6">
        <v>35987.022935395187</v>
      </c>
      <c r="DU12" s="11">
        <v>37110.479342974359</v>
      </c>
      <c r="DV12" s="6">
        <v>38893.820166624406</v>
      </c>
      <c r="DW12" s="6">
        <v>41424.611827647059</v>
      </c>
      <c r="DX12" s="6">
        <v>43196.841612278309</v>
      </c>
      <c r="DY12" s="6">
        <v>42477.12461579618</v>
      </c>
      <c r="DZ12" s="9">
        <v>43804.09698118949</v>
      </c>
      <c r="EA12" s="6">
        <v>44337.701189961394</v>
      </c>
    </row>
    <row r="13" spans="1:131">
      <c r="A13" s="21" t="s">
        <v>47</v>
      </c>
      <c r="B13" s="45">
        <v>16596</v>
      </c>
      <c r="C13" s="45">
        <v>17760</v>
      </c>
      <c r="D13" s="45">
        <v>18797</v>
      </c>
      <c r="E13" s="45">
        <v>20740</v>
      </c>
      <c r="F13" s="45">
        <v>22865</v>
      </c>
      <c r="G13" s="45">
        <v>24635</v>
      </c>
      <c r="H13" s="45">
        <v>24984</v>
      </c>
      <c r="I13" s="45">
        <v>27491</v>
      </c>
      <c r="J13" s="45">
        <v>29594</v>
      </c>
      <c r="K13" s="45">
        <v>30847</v>
      </c>
      <c r="L13" s="45">
        <v>31238</v>
      </c>
      <c r="M13" s="22">
        <v>32778</v>
      </c>
      <c r="N13" s="22">
        <v>34150</v>
      </c>
      <c r="O13" s="22">
        <v>35881</v>
      </c>
      <c r="P13" s="22">
        <v>38137</v>
      </c>
      <c r="Q13" s="22">
        <v>39436.779245218502</v>
      </c>
      <c r="R13" s="22">
        <v>40592.475882293496</v>
      </c>
      <c r="S13" s="22">
        <v>41067</v>
      </c>
      <c r="T13" s="22">
        <v>42309</v>
      </c>
      <c r="U13" s="22">
        <v>43603</v>
      </c>
      <c r="V13" s="22">
        <v>44964.135750300396</v>
      </c>
      <c r="W13" s="22">
        <v>47187.982590298554</v>
      </c>
      <c r="X13" s="23">
        <v>49442.15482463636</v>
      </c>
      <c r="Y13" s="23">
        <v>50346.104384523802</v>
      </c>
      <c r="Z13" s="37">
        <v>51416.186489609754</v>
      </c>
      <c r="AA13" s="6">
        <v>52070.783450419993</v>
      </c>
      <c r="AB13" s="6">
        <v>52230.04262133906</v>
      </c>
      <c r="AC13" s="6">
        <v>54266.406798613214</v>
      </c>
      <c r="AD13" s="6">
        <v>56597.623612809977</v>
      </c>
      <c r="AE13" s="6">
        <v>58607.722613038241</v>
      </c>
      <c r="AF13" s="6">
        <v>60529.156682559224</v>
      </c>
      <c r="AG13" s="6">
        <v>61635.631712850925</v>
      </c>
      <c r="AH13" s="6">
        <v>59792.055882499313</v>
      </c>
      <c r="AI13" s="6">
        <v>61129.79961629834</v>
      </c>
      <c r="AJ13" s="38">
        <v>31843</v>
      </c>
      <c r="AK13" s="22">
        <v>42044</v>
      </c>
      <c r="AL13" s="22">
        <v>44036</v>
      </c>
      <c r="AM13" s="22">
        <v>46013</v>
      </c>
      <c r="AN13" s="22">
        <v>48834</v>
      </c>
      <c r="AO13" s="22">
        <v>50988</v>
      </c>
      <c r="AP13" s="22">
        <v>51994</v>
      </c>
      <c r="AQ13" s="22">
        <v>52709</v>
      </c>
      <c r="AR13" s="22">
        <v>54578</v>
      </c>
      <c r="AS13" s="22">
        <v>56125.505585851199</v>
      </c>
      <c r="AT13" s="22">
        <v>58890.084861700598</v>
      </c>
      <c r="AU13" s="22">
        <v>61194.454831201983</v>
      </c>
      <c r="AV13" s="23">
        <v>64115.001975689651</v>
      </c>
      <c r="AW13" s="23">
        <v>66127.950370900115</v>
      </c>
      <c r="AX13" s="23">
        <v>67434.900611080753</v>
      </c>
      <c r="AY13" s="1">
        <v>68635.786683266342</v>
      </c>
      <c r="AZ13" s="1">
        <v>70065.345054763035</v>
      </c>
      <c r="BA13" s="1">
        <v>72255.270980720292</v>
      </c>
      <c r="BB13" s="6">
        <v>76770.220112644718</v>
      </c>
      <c r="BC13" s="6">
        <v>80493.414275855859</v>
      </c>
      <c r="BD13" s="6">
        <v>83725.133254566477</v>
      </c>
      <c r="BE13" s="6">
        <v>85393.491780821918</v>
      </c>
      <c r="BF13" s="37">
        <v>84106.527087542854</v>
      </c>
      <c r="BG13" s="6">
        <v>85496.518468750015</v>
      </c>
      <c r="BH13" s="38">
        <v>25414</v>
      </c>
      <c r="BI13" s="22">
        <v>33730</v>
      </c>
      <c r="BJ13" s="22">
        <v>35249</v>
      </c>
      <c r="BK13" s="22">
        <v>36619</v>
      </c>
      <c r="BL13" s="22">
        <v>39001</v>
      </c>
      <c r="BM13" s="22">
        <v>40468</v>
      </c>
      <c r="BN13" s="22">
        <v>41179</v>
      </c>
      <c r="BO13" s="22">
        <v>41704</v>
      </c>
      <c r="BP13" s="22">
        <v>43197</v>
      </c>
      <c r="BQ13" s="22">
        <v>44604.639187734487</v>
      </c>
      <c r="BR13" s="22">
        <v>46316.316952286099</v>
      </c>
      <c r="BS13" s="22">
        <v>48737.945119942036</v>
      </c>
      <c r="BT13" s="23">
        <v>50820.6530668915</v>
      </c>
      <c r="BU13" s="23">
        <v>52724.621419822222</v>
      </c>
      <c r="BV13" s="23">
        <v>55199.528019230769</v>
      </c>
      <c r="BW13" s="23">
        <v>55620.779645454539</v>
      </c>
      <c r="BX13" s="23">
        <v>56430.773339855077</v>
      </c>
      <c r="BY13" s="11">
        <v>58539.902289883721</v>
      </c>
      <c r="BZ13" s="6">
        <v>60163.516588133338</v>
      </c>
      <c r="CA13" s="6">
        <v>62683.792647503309</v>
      </c>
      <c r="CB13" s="6">
        <v>64044.987405986394</v>
      </c>
      <c r="CC13" s="6">
        <v>65053.057907888033</v>
      </c>
      <c r="CD13" s="37">
        <v>63488.049473849882</v>
      </c>
      <c r="CE13" s="6">
        <v>64329.264804502367</v>
      </c>
      <c r="CF13" s="38">
        <v>21617</v>
      </c>
      <c r="CG13" s="22">
        <v>28400</v>
      </c>
      <c r="CH13" s="22">
        <v>29789</v>
      </c>
      <c r="CI13" s="22">
        <v>31148</v>
      </c>
      <c r="CJ13" s="22">
        <v>33167</v>
      </c>
      <c r="CK13" s="22">
        <v>34534</v>
      </c>
      <c r="CL13" s="22">
        <v>35507</v>
      </c>
      <c r="CM13" s="22">
        <v>35879</v>
      </c>
      <c r="CN13" s="22">
        <v>37148</v>
      </c>
      <c r="CO13" s="22">
        <v>38241.570568895186</v>
      </c>
      <c r="CP13" s="22">
        <v>39205.581336048999</v>
      </c>
      <c r="CQ13" s="22">
        <v>41320.109378272602</v>
      </c>
      <c r="CR13" s="23">
        <v>42463.813430524824</v>
      </c>
      <c r="CS13" s="23">
        <v>43831.840158144041</v>
      </c>
      <c r="CT13" s="23">
        <v>45098.663199116883</v>
      </c>
      <c r="CU13" s="23">
        <v>45568.154949706259</v>
      </c>
      <c r="CV13" s="23">
        <v>46466.777151561713</v>
      </c>
      <c r="CW13" s="11">
        <v>48013.241901638954</v>
      </c>
      <c r="CX13" s="6">
        <v>49085.165181739125</v>
      </c>
      <c r="CY13" s="6">
        <v>51470.18232061834</v>
      </c>
      <c r="CZ13" s="6">
        <v>53373.489119954647</v>
      </c>
      <c r="DA13" s="6">
        <v>55049.66007440212</v>
      </c>
      <c r="DB13" s="37">
        <v>53979.609057453104</v>
      </c>
      <c r="DC13" s="6">
        <v>55323.244611267604</v>
      </c>
      <c r="DD13" s="40">
        <v>16640</v>
      </c>
      <c r="DE13" s="22">
        <v>21963</v>
      </c>
      <c r="DF13" s="22">
        <v>22604</v>
      </c>
      <c r="DG13" s="22">
        <v>23658</v>
      </c>
      <c r="DH13" s="22">
        <v>25057</v>
      </c>
      <c r="DI13" s="22">
        <v>25560</v>
      </c>
      <c r="DJ13" s="22">
        <v>26555</v>
      </c>
      <c r="DK13" s="22">
        <v>27014</v>
      </c>
      <c r="DL13" s="22">
        <v>27491</v>
      </c>
      <c r="DM13" s="22">
        <v>28684.127629743591</v>
      </c>
      <c r="DN13" s="22">
        <v>29554.323764245299</v>
      </c>
      <c r="DO13" s="24">
        <v>30792.865529223745</v>
      </c>
      <c r="DP13" s="24">
        <v>31920.201289323672</v>
      </c>
      <c r="DQ13" s="24">
        <v>33816.350755225052</v>
      </c>
      <c r="DR13" s="6">
        <v>34711.978510076049</v>
      </c>
      <c r="DS13" s="6">
        <v>34751.547793955222</v>
      </c>
      <c r="DT13" s="6">
        <v>33766.847432240807</v>
      </c>
      <c r="DU13" s="11">
        <v>35950.338828556698</v>
      </c>
      <c r="DV13" s="6">
        <v>36534.720919926338</v>
      </c>
      <c r="DW13" s="6">
        <v>37887.654785813153</v>
      </c>
      <c r="DX13" s="6">
        <v>39370.856741726617</v>
      </c>
      <c r="DY13" s="6">
        <v>40365.620132670454</v>
      </c>
      <c r="DZ13" s="9">
        <v>39951.702523099848</v>
      </c>
      <c r="EA13" s="6">
        <v>39685.125020909087</v>
      </c>
    </row>
    <row r="14" spans="1:131">
      <c r="A14" s="21" t="s">
        <v>65</v>
      </c>
      <c r="B14" s="36">
        <v>20068</v>
      </c>
      <c r="C14" s="36">
        <v>21444</v>
      </c>
      <c r="D14" s="36">
        <v>22738</v>
      </c>
      <c r="E14" s="36">
        <v>24657</v>
      </c>
      <c r="F14" s="36">
        <v>26935</v>
      </c>
      <c r="G14" s="36">
        <v>28469</v>
      </c>
      <c r="H14" s="36">
        <f>((I14-G14)/2)+G14</f>
        <v>30346.5</v>
      </c>
      <c r="I14" s="36">
        <v>32224</v>
      </c>
      <c r="J14" s="36">
        <v>33895</v>
      </c>
      <c r="K14" s="46">
        <f>((L14-J14)/2)+J14</f>
        <v>35800.5</v>
      </c>
      <c r="L14" s="36">
        <v>37706</v>
      </c>
      <c r="M14" s="22">
        <v>39919.646365422399</v>
      </c>
      <c r="N14" s="22">
        <v>42308</v>
      </c>
      <c r="O14" s="22">
        <v>44452</v>
      </c>
      <c r="P14" s="22">
        <v>48003</v>
      </c>
      <c r="Q14" s="22">
        <v>49987</v>
      </c>
      <c r="R14" s="22">
        <v>51391</v>
      </c>
      <c r="S14" s="36">
        <v>54534</v>
      </c>
      <c r="T14" s="22">
        <v>57642</v>
      </c>
      <c r="U14" s="47">
        <v>59668</v>
      </c>
      <c r="V14" s="36">
        <v>62486</v>
      </c>
      <c r="W14" s="47">
        <v>64470</v>
      </c>
      <c r="X14" s="23">
        <v>66188.33225851522</v>
      </c>
      <c r="Y14" s="23">
        <v>70434.79661164619</v>
      </c>
      <c r="Z14" s="37">
        <v>72601</v>
      </c>
      <c r="AA14" s="6">
        <v>74008.385187748994</v>
      </c>
      <c r="AB14" s="6">
        <v>75680.3047241983</v>
      </c>
      <c r="AC14" s="6">
        <v>78715.362354107696</v>
      </c>
      <c r="AD14" s="6">
        <v>78566.275453875598</v>
      </c>
      <c r="AE14" s="6">
        <v>83126.630618254101</v>
      </c>
      <c r="AF14" s="6">
        <v>86566.508851345119</v>
      </c>
      <c r="AG14" s="6">
        <v>90053.540386259541</v>
      </c>
      <c r="AH14" s="6">
        <v>93548.481453917047</v>
      </c>
      <c r="AI14" s="6">
        <v>94474.343564954674</v>
      </c>
      <c r="AJ14" s="38"/>
      <c r="AK14" s="48">
        <v>54641.233766233767</v>
      </c>
      <c r="AL14" s="22">
        <v>57062</v>
      </c>
      <c r="AM14" s="22">
        <v>60332</v>
      </c>
      <c r="AN14" s="22">
        <v>64953</v>
      </c>
      <c r="AO14" s="22">
        <v>67591</v>
      </c>
      <c r="AP14" s="22">
        <v>70904.864864864867</v>
      </c>
      <c r="AQ14" s="22">
        <v>72932.96248559079</v>
      </c>
      <c r="AR14" s="22">
        <v>76852</v>
      </c>
      <c r="AS14" s="22">
        <v>79581</v>
      </c>
      <c r="AT14" s="24">
        <v>82412</v>
      </c>
      <c r="AU14" s="24">
        <v>88018.181818181823</v>
      </c>
      <c r="AV14" s="37">
        <v>86295.071921974028</v>
      </c>
      <c r="AW14" s="37">
        <v>93248.714463318378</v>
      </c>
      <c r="AX14" s="23">
        <v>97707</v>
      </c>
      <c r="AY14" s="1">
        <v>99438.975779977336</v>
      </c>
      <c r="AZ14" s="1">
        <v>100953.32145266535</v>
      </c>
      <c r="BA14" s="1">
        <v>106427.1294405357</v>
      </c>
      <c r="BB14" s="6">
        <v>108081.33974459184</v>
      </c>
      <c r="BC14" s="6">
        <v>114401.66153221675</v>
      </c>
      <c r="BD14" s="6">
        <v>119991.36479228917</v>
      </c>
      <c r="BE14" s="6">
        <v>123337.82533159145</v>
      </c>
      <c r="BF14" s="37">
        <v>127690.77924339623</v>
      </c>
      <c r="BG14" s="6">
        <v>129796.89912192771</v>
      </c>
      <c r="BH14" s="38"/>
      <c r="BI14" s="48">
        <v>39175.700934579399</v>
      </c>
      <c r="BJ14" s="22">
        <v>41452</v>
      </c>
      <c r="BK14" s="22">
        <v>43651</v>
      </c>
      <c r="BL14" s="22">
        <v>47417</v>
      </c>
      <c r="BM14" s="22">
        <v>49984</v>
      </c>
      <c r="BN14" s="22">
        <v>51867.2131147541</v>
      </c>
      <c r="BO14" s="22">
        <v>53071.805384269661</v>
      </c>
      <c r="BP14" s="22">
        <v>55473</v>
      </c>
      <c r="BQ14" s="22">
        <v>56980</v>
      </c>
      <c r="BR14" s="24">
        <v>58632</v>
      </c>
      <c r="BS14" s="24">
        <v>61487.121212121216</v>
      </c>
      <c r="BT14" s="37">
        <v>62204.822337979276</v>
      </c>
      <c r="BU14" s="37">
        <v>65313.711398437503</v>
      </c>
      <c r="BV14" s="23">
        <v>67611</v>
      </c>
      <c r="BW14" s="23">
        <v>68340.045434463682</v>
      </c>
      <c r="BX14" s="23">
        <v>70858.204132613057</v>
      </c>
      <c r="BY14" s="11">
        <v>73780.437122765958</v>
      </c>
      <c r="BZ14" s="6">
        <v>75548.469843756611</v>
      </c>
      <c r="CA14" s="6">
        <v>77721.428814554703</v>
      </c>
      <c r="CB14" s="6">
        <v>77620.911289438198</v>
      </c>
      <c r="CC14" s="6">
        <v>82094.738260048427</v>
      </c>
      <c r="CD14" s="37">
        <v>84905.642485308053</v>
      </c>
      <c r="CE14" s="6">
        <v>86343.212614678909</v>
      </c>
      <c r="CF14" s="38"/>
      <c r="CG14" s="22">
        <v>32074.592833876221</v>
      </c>
      <c r="CH14" s="22">
        <v>32506</v>
      </c>
      <c r="CI14" s="22">
        <v>34379</v>
      </c>
      <c r="CJ14" s="22">
        <v>36451</v>
      </c>
      <c r="CK14" s="22">
        <v>39690</v>
      </c>
      <c r="CL14" s="22">
        <v>40817.625899280574</v>
      </c>
      <c r="CM14" s="22">
        <v>41998.002195488727</v>
      </c>
      <c r="CN14" s="22">
        <v>41947</v>
      </c>
      <c r="CO14" s="22">
        <v>45477</v>
      </c>
      <c r="CP14" s="22">
        <v>47118</v>
      </c>
      <c r="CQ14" s="22">
        <v>48662.79069767442</v>
      </c>
      <c r="CR14" s="23">
        <v>50835.62593348659</v>
      </c>
      <c r="CS14" s="23">
        <v>52109.470378118465</v>
      </c>
      <c r="CT14" s="23">
        <v>54565</v>
      </c>
      <c r="CU14" s="23">
        <v>56584.086313069907</v>
      </c>
      <c r="CV14" s="23">
        <v>58252.187694909095</v>
      </c>
      <c r="CW14" s="11">
        <v>60027.163521325652</v>
      </c>
      <c r="CX14" s="6">
        <v>61121.542548511912</v>
      </c>
      <c r="CY14" s="6">
        <v>65026.788850568184</v>
      </c>
      <c r="CZ14" s="6">
        <v>68774.417347231269</v>
      </c>
      <c r="DA14" s="6">
        <v>70882.961738842976</v>
      </c>
      <c r="DB14" s="37">
        <v>73025.887110086449</v>
      </c>
      <c r="DC14" s="6">
        <v>74674.032444759214</v>
      </c>
      <c r="DD14" s="40"/>
      <c r="DE14" s="22">
        <v>22859.756097560974</v>
      </c>
      <c r="DF14" s="22">
        <v>24123</v>
      </c>
      <c r="DG14" s="22">
        <v>25488</v>
      </c>
      <c r="DH14" s="22">
        <v>27731</v>
      </c>
      <c r="DI14" s="22">
        <v>29237</v>
      </c>
      <c r="DJ14" s="22">
        <v>28488.888888888891</v>
      </c>
      <c r="DK14" s="22">
        <v>31250.53616</v>
      </c>
      <c r="DL14" s="22">
        <v>31864</v>
      </c>
      <c r="DM14" s="22">
        <v>34304</v>
      </c>
      <c r="DN14" s="22">
        <v>36227</v>
      </c>
      <c r="DO14" s="24">
        <v>36975</v>
      </c>
      <c r="DP14" s="24">
        <v>39016.384409743587</v>
      </c>
      <c r="DQ14" s="24">
        <v>42077.661890961535</v>
      </c>
      <c r="DR14" s="6">
        <v>43474</v>
      </c>
      <c r="DS14" s="6">
        <v>44443.145388745448</v>
      </c>
      <c r="DT14" s="6">
        <v>46218.557349265597</v>
      </c>
      <c r="DU14" s="11">
        <v>48059.795282833329</v>
      </c>
      <c r="DV14" s="6">
        <v>48689.975742362207</v>
      </c>
      <c r="DW14" s="6">
        <v>51337.329926412211</v>
      </c>
      <c r="DX14" s="6">
        <v>53677.230833333335</v>
      </c>
      <c r="DY14" s="6">
        <v>56879.334185714288</v>
      </c>
      <c r="DZ14" s="9">
        <v>59724.837942592596</v>
      </c>
      <c r="EA14" s="6">
        <v>60414.894842372887</v>
      </c>
    </row>
    <row r="15" spans="1:131">
      <c r="A15" s="21" t="s">
        <v>48</v>
      </c>
      <c r="B15" s="45">
        <v>19094</v>
      </c>
      <c r="C15" s="45">
        <v>20235</v>
      </c>
      <c r="D15" s="45">
        <v>21638</v>
      </c>
      <c r="E15" s="45">
        <v>24707</v>
      </c>
      <c r="F15" s="45">
        <v>26396</v>
      </c>
      <c r="G15" s="45">
        <v>28410</v>
      </c>
      <c r="H15" s="45">
        <v>31088</v>
      </c>
      <c r="I15" s="45">
        <v>32546</v>
      </c>
      <c r="J15" s="45">
        <v>34221</v>
      </c>
      <c r="K15" s="45">
        <v>36669</v>
      </c>
      <c r="L15" s="45">
        <v>38774</v>
      </c>
      <c r="M15" s="22">
        <v>41229</v>
      </c>
      <c r="N15" s="22">
        <v>44050</v>
      </c>
      <c r="O15" s="22">
        <v>43748</v>
      </c>
      <c r="P15" s="22">
        <v>44356</v>
      </c>
      <c r="Q15" s="46">
        <v>44803.299172907602</v>
      </c>
      <c r="R15" s="46">
        <v>46152.730872893902</v>
      </c>
      <c r="S15" s="46">
        <v>48859</v>
      </c>
      <c r="T15" s="49">
        <v>50489</v>
      </c>
      <c r="U15" s="46">
        <v>52031</v>
      </c>
      <c r="V15" s="49">
        <v>53861.986422184003</v>
      </c>
      <c r="W15" s="46">
        <v>55003.520706270319</v>
      </c>
      <c r="X15" s="50">
        <v>55852.817408266405</v>
      </c>
      <c r="Y15" s="51">
        <v>58604.433255006908</v>
      </c>
      <c r="Z15" s="51">
        <v>60972.78846258355</v>
      </c>
      <c r="AA15" s="13">
        <v>63214.080998850724</v>
      </c>
      <c r="AB15" s="6">
        <v>63947.844132029342</v>
      </c>
      <c r="AC15" s="6">
        <v>66161.633983074906</v>
      </c>
      <c r="AD15" s="6">
        <v>69704.935786351052</v>
      </c>
      <c r="AE15" s="6">
        <v>72861.908871991749</v>
      </c>
      <c r="AF15" s="6">
        <v>73881.878043185527</v>
      </c>
      <c r="AG15" s="6">
        <v>74943.29783852234</v>
      </c>
      <c r="AH15" s="6">
        <v>76316.768813501709</v>
      </c>
      <c r="AI15" s="6">
        <v>78037.041880881632</v>
      </c>
      <c r="AJ15" s="38">
        <v>38223</v>
      </c>
      <c r="AK15" s="22">
        <v>51999</v>
      </c>
      <c r="AL15" s="22">
        <v>55125</v>
      </c>
      <c r="AM15" s="22">
        <v>55944</v>
      </c>
      <c r="AN15" s="22">
        <v>55533</v>
      </c>
      <c r="AO15" s="22">
        <v>55904</v>
      </c>
      <c r="AP15" s="22">
        <v>58216</v>
      </c>
      <c r="AQ15" s="22">
        <v>60787</v>
      </c>
      <c r="AR15" s="22">
        <v>63253</v>
      </c>
      <c r="AS15" s="22">
        <v>65643.96860879728</v>
      </c>
      <c r="AT15" s="22">
        <v>65145.117944372098</v>
      </c>
      <c r="AU15" s="22">
        <v>69932.945511643877</v>
      </c>
      <c r="AV15" s="23">
        <v>71603.582326290125</v>
      </c>
      <c r="AW15" s="23">
        <v>76167.533530852947</v>
      </c>
      <c r="AX15" s="23">
        <v>79967.053952627291</v>
      </c>
      <c r="AY15" s="1">
        <v>83249.572574748032</v>
      </c>
      <c r="AZ15" s="1">
        <v>85290.248408319181</v>
      </c>
      <c r="BA15" s="1">
        <v>89119.256610576282</v>
      </c>
      <c r="BB15" s="6">
        <v>94642.053302002605</v>
      </c>
      <c r="BC15" s="6">
        <v>100998.43971003563</v>
      </c>
      <c r="BD15" s="6">
        <v>102467.74924785939</v>
      </c>
      <c r="BE15" s="6">
        <v>104409.96980215638</v>
      </c>
      <c r="BF15" s="37">
        <v>106498.22720428936</v>
      </c>
      <c r="BG15" s="6">
        <v>108816.0737400261</v>
      </c>
      <c r="BH15" s="38">
        <v>28616</v>
      </c>
      <c r="BI15" s="22">
        <v>38778</v>
      </c>
      <c r="BJ15" s="22">
        <v>41711</v>
      </c>
      <c r="BK15" s="22">
        <v>40416</v>
      </c>
      <c r="BL15" s="22">
        <v>40579</v>
      </c>
      <c r="BM15" s="22">
        <v>40429</v>
      </c>
      <c r="BN15" s="22">
        <v>41390</v>
      </c>
      <c r="BO15" s="22">
        <v>44850</v>
      </c>
      <c r="BP15" s="22">
        <v>46827</v>
      </c>
      <c r="BQ15" s="22">
        <v>48930.379954184587</v>
      </c>
      <c r="BR15" s="22">
        <v>49726.517542703798</v>
      </c>
      <c r="BS15" s="22">
        <v>52595.545604159037</v>
      </c>
      <c r="BT15" s="23">
        <v>54144.916571661241</v>
      </c>
      <c r="BU15" s="23">
        <v>56812.002803184951</v>
      </c>
      <c r="BV15" s="23">
        <v>59080.021543122399</v>
      </c>
      <c r="BW15" s="23">
        <v>61043.62916309297</v>
      </c>
      <c r="BX15" s="23">
        <v>61942.868863334807</v>
      </c>
      <c r="BY15" s="11">
        <v>64408.251439201689</v>
      </c>
      <c r="BZ15" s="6">
        <v>68295.495151658979</v>
      </c>
      <c r="CA15" s="6">
        <v>71424.217207332375</v>
      </c>
      <c r="CB15" s="6">
        <v>72809.133949797804</v>
      </c>
      <c r="CC15" s="6">
        <v>73769.188249110943</v>
      </c>
      <c r="CD15" s="37">
        <v>74303.444425425536</v>
      </c>
      <c r="CE15" s="6">
        <v>76213.591940350088</v>
      </c>
      <c r="CF15" s="38">
        <v>24879</v>
      </c>
      <c r="CG15" s="22">
        <v>33877</v>
      </c>
      <c r="CH15" s="22">
        <v>37508</v>
      </c>
      <c r="CI15" s="22">
        <v>35729</v>
      </c>
      <c r="CJ15" s="22">
        <v>36058</v>
      </c>
      <c r="CK15" s="22">
        <v>36723</v>
      </c>
      <c r="CL15" s="22">
        <v>38027</v>
      </c>
      <c r="CM15" s="22">
        <v>40169</v>
      </c>
      <c r="CN15" s="22">
        <v>41245</v>
      </c>
      <c r="CO15" s="22">
        <v>42358.979048585636</v>
      </c>
      <c r="CP15" s="22">
        <v>42929.880212600903</v>
      </c>
      <c r="CQ15" s="22">
        <v>44496.208220893757</v>
      </c>
      <c r="CR15" s="23">
        <v>45857.12909391534</v>
      </c>
      <c r="CS15" s="23">
        <v>47852.092569145636</v>
      </c>
      <c r="CT15" s="23">
        <v>50315.017196847155</v>
      </c>
      <c r="CU15" s="23">
        <v>52099.955394210774</v>
      </c>
      <c r="CV15" s="23">
        <v>53570.432335864229</v>
      </c>
      <c r="CW15" s="11">
        <v>55785.825996372456</v>
      </c>
      <c r="CX15" s="6">
        <v>58831.625248898657</v>
      </c>
      <c r="CY15" s="6">
        <v>61520.734056954243</v>
      </c>
      <c r="CZ15" s="6">
        <v>62318.444145135785</v>
      </c>
      <c r="DA15" s="6">
        <v>63550.552279801006</v>
      </c>
      <c r="DB15" s="37">
        <v>64485.363385468285</v>
      </c>
      <c r="DC15" s="6">
        <v>66022.436329974167</v>
      </c>
      <c r="DD15" s="40">
        <v>19888</v>
      </c>
      <c r="DE15" s="22">
        <v>26296</v>
      </c>
      <c r="DF15" s="22">
        <v>28595</v>
      </c>
      <c r="DG15" s="22">
        <v>28117</v>
      </c>
      <c r="DH15" s="22">
        <v>31981</v>
      </c>
      <c r="DI15" s="22">
        <v>28942</v>
      </c>
      <c r="DJ15" s="22">
        <v>26496</v>
      </c>
      <c r="DK15" s="22">
        <v>31493</v>
      </c>
      <c r="DL15" s="22">
        <v>31897</v>
      </c>
      <c r="DM15" s="22">
        <v>31323.141980597014</v>
      </c>
      <c r="DN15" s="22">
        <v>32302.643644153199</v>
      </c>
      <c r="DO15" s="24">
        <v>33755.202328730215</v>
      </c>
      <c r="DP15" s="24">
        <v>33198.063013643659</v>
      </c>
      <c r="DQ15" s="24">
        <v>35279.271351666663</v>
      </c>
      <c r="DR15" s="6">
        <v>36817.187412890096</v>
      </c>
      <c r="DS15" s="6">
        <v>36881.469952797925</v>
      </c>
      <c r="DT15" s="6">
        <v>38468.184058898849</v>
      </c>
      <c r="DU15" s="11">
        <v>40242.205832034662</v>
      </c>
      <c r="DV15" s="6">
        <v>43208.890229876102</v>
      </c>
      <c r="DW15" s="6">
        <v>45229.28954766602</v>
      </c>
      <c r="DX15" s="6">
        <v>46047.28002716841</v>
      </c>
      <c r="DY15" s="6">
        <v>47678.886954186339</v>
      </c>
      <c r="DZ15" s="9">
        <v>47556.364741666664</v>
      </c>
      <c r="EA15" s="6">
        <v>48193.315039025052</v>
      </c>
    </row>
    <row r="16" spans="1:131">
      <c r="A16" s="21" t="s">
        <v>49</v>
      </c>
      <c r="B16" s="45">
        <v>17797</v>
      </c>
      <c r="C16" s="45">
        <v>19452</v>
      </c>
      <c r="D16" s="45">
        <v>21463</v>
      </c>
      <c r="E16" s="45">
        <v>23845</v>
      </c>
      <c r="F16" s="45">
        <v>26530</v>
      </c>
      <c r="G16" s="45">
        <v>28402</v>
      </c>
      <c r="H16" s="45">
        <v>30317</v>
      </c>
      <c r="I16" s="45">
        <v>31530</v>
      </c>
      <c r="J16" s="45">
        <v>33968</v>
      </c>
      <c r="K16" s="45">
        <v>35666</v>
      </c>
      <c r="L16" s="45">
        <v>36918</v>
      </c>
      <c r="M16" s="22">
        <v>38733</v>
      </c>
      <c r="N16" s="22">
        <v>40447</v>
      </c>
      <c r="O16" s="22">
        <v>42168</v>
      </c>
      <c r="P16" s="22">
        <v>42766</v>
      </c>
      <c r="Q16" s="22">
        <v>44052.064587562301</v>
      </c>
      <c r="R16" s="22">
        <v>45150.222701924802</v>
      </c>
      <c r="S16" s="22">
        <v>47309</v>
      </c>
      <c r="T16" s="22">
        <v>50060</v>
      </c>
      <c r="U16" s="22">
        <v>52637</v>
      </c>
      <c r="V16" s="22">
        <v>56218.790602108304</v>
      </c>
      <c r="W16" s="22">
        <v>56251.463258785945</v>
      </c>
      <c r="X16" s="23">
        <v>58315.289803706335</v>
      </c>
      <c r="Y16" s="23">
        <v>60631.944278022718</v>
      </c>
      <c r="Z16" s="23">
        <v>62928.851244182646</v>
      </c>
      <c r="AA16" s="6">
        <v>65336.215211522314</v>
      </c>
      <c r="AB16" s="6">
        <v>66515.993671489618</v>
      </c>
      <c r="AC16" s="6">
        <v>66234.1952753652</v>
      </c>
      <c r="AD16" s="6">
        <v>69320.512211668203</v>
      </c>
      <c r="AE16" s="6">
        <v>69794.569271062239</v>
      </c>
      <c r="AF16" s="6">
        <v>70385.283716783917</v>
      </c>
      <c r="AG16" s="6">
        <v>73603.243867716752</v>
      </c>
      <c r="AH16" s="6">
        <v>72787.952532273717</v>
      </c>
      <c r="AI16" s="6">
        <v>72774.068051609604</v>
      </c>
      <c r="AJ16" s="38">
        <v>39985</v>
      </c>
      <c r="AK16" s="22">
        <v>48486</v>
      </c>
      <c r="AL16" s="22">
        <v>50913</v>
      </c>
      <c r="AM16" s="22">
        <v>53019</v>
      </c>
      <c r="AN16" s="22">
        <v>53777</v>
      </c>
      <c r="AO16" s="22">
        <v>55354</v>
      </c>
      <c r="AP16" s="22">
        <v>56947</v>
      </c>
      <c r="AQ16" s="22">
        <v>60189</v>
      </c>
      <c r="AR16" s="22">
        <v>63879</v>
      </c>
      <c r="AS16" s="22">
        <v>68061.101252609602</v>
      </c>
      <c r="AT16" s="22">
        <v>72311.984823848194</v>
      </c>
      <c r="AU16" s="22">
        <v>75459.749351323306</v>
      </c>
      <c r="AV16" s="23">
        <v>78140.414585163002</v>
      </c>
      <c r="AW16" s="23">
        <v>81885.027059416912</v>
      </c>
      <c r="AX16" s="37">
        <v>84897.422937342984</v>
      </c>
      <c r="AY16" s="1">
        <v>88023.414438316468</v>
      </c>
      <c r="AZ16" s="1">
        <v>88956.429773433498</v>
      </c>
      <c r="BA16" s="1">
        <v>88793.962358683857</v>
      </c>
      <c r="BB16" s="6">
        <v>93140.270779461833</v>
      </c>
      <c r="BC16" s="6">
        <v>94983.788375177784</v>
      </c>
      <c r="BD16" s="6">
        <v>98382.855508170513</v>
      </c>
      <c r="BE16" s="6">
        <v>103336.85650746796</v>
      </c>
      <c r="BF16" s="37">
        <v>102274.0080089807</v>
      </c>
      <c r="BG16" s="6">
        <v>101168.65917953177</v>
      </c>
      <c r="BH16" s="38">
        <v>29827</v>
      </c>
      <c r="BI16" s="22">
        <v>36819</v>
      </c>
      <c r="BJ16" s="22">
        <v>38399</v>
      </c>
      <c r="BK16" s="22">
        <v>40189</v>
      </c>
      <c r="BL16" s="22">
        <v>40833</v>
      </c>
      <c r="BM16" s="22">
        <v>42348</v>
      </c>
      <c r="BN16" s="22">
        <v>43611</v>
      </c>
      <c r="BO16" s="22">
        <v>45963</v>
      </c>
      <c r="BP16" s="22">
        <v>48267</v>
      </c>
      <c r="BQ16" s="22">
        <v>50783.491304347823</v>
      </c>
      <c r="BR16" s="22">
        <v>53844.917249417304</v>
      </c>
      <c r="BS16" s="22">
        <v>56097.143681174617</v>
      </c>
      <c r="BT16" s="23">
        <v>58012.878491062038</v>
      </c>
      <c r="BU16" s="23">
        <v>59193.756714375006</v>
      </c>
      <c r="BV16" s="23">
        <v>61284.355448644499</v>
      </c>
      <c r="BW16" s="23">
        <v>62874.566064467319</v>
      </c>
      <c r="BX16" s="23">
        <v>62243.345369864124</v>
      </c>
      <c r="BY16" s="11">
        <v>61677.918030931869</v>
      </c>
      <c r="BZ16" s="6">
        <v>65117.329629291497</v>
      </c>
      <c r="CA16" s="6">
        <v>66111.8920236431</v>
      </c>
      <c r="CB16" s="6">
        <v>68580.835895969998</v>
      </c>
      <c r="CC16" s="6">
        <v>72098.811469622029</v>
      </c>
      <c r="CD16" s="37">
        <v>72435.153299857353</v>
      </c>
      <c r="CE16" s="6">
        <v>71989.985605063499</v>
      </c>
      <c r="CF16" s="38">
        <v>23888</v>
      </c>
      <c r="CG16" s="22">
        <v>30995</v>
      </c>
      <c r="CH16" s="22">
        <v>32670</v>
      </c>
      <c r="CI16" s="22">
        <v>34497</v>
      </c>
      <c r="CJ16" s="22">
        <v>35010</v>
      </c>
      <c r="CK16" s="22">
        <v>36016</v>
      </c>
      <c r="CL16" s="22">
        <v>36818</v>
      </c>
      <c r="CM16" s="22">
        <v>38435</v>
      </c>
      <c r="CN16" s="22">
        <v>40372</v>
      </c>
      <c r="CO16" s="22">
        <v>42234.624164810688</v>
      </c>
      <c r="CP16" s="22">
        <v>44500.305352798103</v>
      </c>
      <c r="CQ16" s="22">
        <v>45177.063104560111</v>
      </c>
      <c r="CR16" s="23">
        <v>46898.142148186009</v>
      </c>
      <c r="CS16" s="23">
        <v>48339.196902133946</v>
      </c>
      <c r="CT16" s="23">
        <v>49900.076157840071</v>
      </c>
      <c r="CU16" s="23">
        <v>51641.800651586855</v>
      </c>
      <c r="CV16" s="23">
        <v>51717.42280222549</v>
      </c>
      <c r="CW16" s="11">
        <v>52433.240305235799</v>
      </c>
      <c r="CX16" s="6">
        <v>56328.275254167056</v>
      </c>
      <c r="CY16" s="6">
        <v>56049.922733430794</v>
      </c>
      <c r="CZ16" s="6">
        <v>57528.339158151772</v>
      </c>
      <c r="DA16" s="6">
        <v>60253.784583227731</v>
      </c>
      <c r="DB16" s="37">
        <v>60836.626523173429</v>
      </c>
      <c r="DC16" s="6">
        <v>61304.205027633325</v>
      </c>
      <c r="DD16" s="40">
        <v>18227</v>
      </c>
      <c r="DE16" s="22">
        <v>26192</v>
      </c>
      <c r="DF16" s="22">
        <v>27517</v>
      </c>
      <c r="DG16" s="22">
        <v>28482</v>
      </c>
      <c r="DH16" s="22">
        <v>28987</v>
      </c>
      <c r="DI16" s="22">
        <v>30195</v>
      </c>
      <c r="DJ16" s="22">
        <v>30668</v>
      </c>
      <c r="DK16" s="22">
        <v>32265</v>
      </c>
      <c r="DL16" s="22">
        <v>34533</v>
      </c>
      <c r="DM16" s="22">
        <v>32884.63782051282</v>
      </c>
      <c r="DN16" s="22">
        <v>35259.910313901302</v>
      </c>
      <c r="DO16" s="24">
        <v>33548.69960474308</v>
      </c>
      <c r="DP16" s="24">
        <v>33083.504654545453</v>
      </c>
      <c r="DQ16" s="24">
        <v>33955.696807830427</v>
      </c>
      <c r="DR16" s="6">
        <v>36414.778414185021</v>
      </c>
      <c r="DS16" s="6">
        <v>37160.47703650433</v>
      </c>
      <c r="DT16" s="6">
        <v>37444.656730226532</v>
      </c>
      <c r="DU16" s="11">
        <v>37981.002674125877</v>
      </c>
      <c r="DV16" s="6">
        <v>37324.245877151516</v>
      </c>
      <c r="DW16" s="6">
        <v>38877.5396810741</v>
      </c>
      <c r="DX16" s="6">
        <v>40987.567155628058</v>
      </c>
      <c r="DY16" s="6">
        <v>41987.011138704023</v>
      </c>
      <c r="DZ16" s="9">
        <v>41927.760893439998</v>
      </c>
      <c r="EA16" s="6">
        <v>43425.251119778484</v>
      </c>
    </row>
    <row r="17" spans="1:131">
      <c r="A17" s="21" t="s">
        <v>50</v>
      </c>
      <c r="B17" s="45">
        <v>18247</v>
      </c>
      <c r="C17" s="45">
        <v>19567</v>
      </c>
      <c r="D17" s="45">
        <v>20632</v>
      </c>
      <c r="E17" s="45">
        <v>22623</v>
      </c>
      <c r="F17" s="45">
        <v>24982</v>
      </c>
      <c r="G17" s="45">
        <v>26777</v>
      </c>
      <c r="H17" s="45">
        <v>28321</v>
      </c>
      <c r="I17" s="45">
        <v>29006</v>
      </c>
      <c r="J17" s="45">
        <v>30476</v>
      </c>
      <c r="K17" s="45">
        <v>32501</v>
      </c>
      <c r="L17" s="45">
        <v>34213</v>
      </c>
      <c r="M17" s="22">
        <v>34893</v>
      </c>
      <c r="N17" s="22">
        <v>37077</v>
      </c>
      <c r="O17" s="22">
        <v>40235</v>
      </c>
      <c r="P17" s="22">
        <v>43313</v>
      </c>
      <c r="Q17" s="22">
        <v>43621.408536982701</v>
      </c>
      <c r="R17" s="22">
        <v>44852.108296790801</v>
      </c>
      <c r="S17" s="22">
        <v>46306</v>
      </c>
      <c r="T17" s="22">
        <v>47871</v>
      </c>
      <c r="U17" s="22">
        <v>49420</v>
      </c>
      <c r="V17" s="22">
        <v>50996.064502978203</v>
      </c>
      <c r="W17" s="22">
        <v>52286.521291891127</v>
      </c>
      <c r="X17" s="23">
        <v>53753.527314887324</v>
      </c>
      <c r="Y17" s="23">
        <v>55732.228008293467</v>
      </c>
      <c r="Z17" s="37">
        <v>57212.722129131434</v>
      </c>
      <c r="AA17" s="6">
        <v>58404.743452779599</v>
      </c>
      <c r="AB17" s="6">
        <v>60010.023588127457</v>
      </c>
      <c r="AC17" s="6">
        <v>60707.367532933189</v>
      </c>
      <c r="AD17" s="6">
        <v>63071.466586614806</v>
      </c>
      <c r="AE17" s="6">
        <v>64545.516531175141</v>
      </c>
      <c r="AF17" s="6">
        <v>67458.536119470096</v>
      </c>
      <c r="AG17" s="6">
        <v>68525.232383163049</v>
      </c>
      <c r="AH17" s="6">
        <v>68260.838038756556</v>
      </c>
      <c r="AI17" s="6">
        <v>69042.577551673312</v>
      </c>
      <c r="AJ17" s="38">
        <v>35074</v>
      </c>
      <c r="AK17" s="22">
        <v>42801</v>
      </c>
      <c r="AL17" s="22">
        <v>45368</v>
      </c>
      <c r="AM17" s="22">
        <v>49555</v>
      </c>
      <c r="AN17" s="22">
        <v>53631</v>
      </c>
      <c r="AO17" s="22">
        <v>53736</v>
      </c>
      <c r="AP17" s="22">
        <v>55465</v>
      </c>
      <c r="AQ17" s="22">
        <v>57412</v>
      </c>
      <c r="AR17" s="22">
        <v>59770</v>
      </c>
      <c r="AS17" s="22">
        <v>61895.544664010587</v>
      </c>
      <c r="AT17" s="22">
        <v>64162.175474166703</v>
      </c>
      <c r="AU17" s="22">
        <v>66157.89558363636</v>
      </c>
      <c r="AV17" s="23">
        <v>68916.545766334224</v>
      </c>
      <c r="AW17" s="23">
        <v>72586.664545643493</v>
      </c>
      <c r="AX17" s="37">
        <v>76340.090509504196</v>
      </c>
      <c r="AY17" s="1">
        <v>77904.876801309263</v>
      </c>
      <c r="AZ17" s="1">
        <v>80803.350054686132</v>
      </c>
      <c r="BA17" s="1">
        <v>81784.12421664469</v>
      </c>
      <c r="BB17" s="6">
        <v>86113.73106197684</v>
      </c>
      <c r="BC17" s="6">
        <v>88577.743563065145</v>
      </c>
      <c r="BD17" s="6">
        <v>93502.636419230766</v>
      </c>
      <c r="BE17" s="6">
        <v>94302.568057254291</v>
      </c>
      <c r="BF17" s="37">
        <v>94058.351458385107</v>
      </c>
      <c r="BG17" s="6">
        <v>95418.927701073626</v>
      </c>
      <c r="BH17" s="38">
        <v>27828</v>
      </c>
      <c r="BI17" s="22">
        <v>33570</v>
      </c>
      <c r="BJ17" s="22">
        <v>35944</v>
      </c>
      <c r="BK17" s="22">
        <v>39434</v>
      </c>
      <c r="BL17" s="22">
        <v>42767</v>
      </c>
      <c r="BM17" s="22">
        <v>42457</v>
      </c>
      <c r="BN17" s="22">
        <v>43592</v>
      </c>
      <c r="BO17" s="22">
        <v>44886</v>
      </c>
      <c r="BP17" s="22">
        <v>46525</v>
      </c>
      <c r="BQ17" s="22">
        <v>47859.964578501531</v>
      </c>
      <c r="BR17" s="22">
        <v>49342.089632118899</v>
      </c>
      <c r="BS17" s="22">
        <v>51354.727227130701</v>
      </c>
      <c r="BT17" s="23">
        <v>52920.767857328239</v>
      </c>
      <c r="BU17" s="23">
        <v>54868.242103548393</v>
      </c>
      <c r="BV17" s="37">
        <v>57355.309386155044</v>
      </c>
      <c r="BW17" s="37">
        <v>58366.645704061782</v>
      </c>
      <c r="BX17" s="37">
        <v>59478.847914530306</v>
      </c>
      <c r="BY17" s="11">
        <v>60767.770462417422</v>
      </c>
      <c r="BZ17" s="6">
        <v>63835.589352483323</v>
      </c>
      <c r="CA17" s="6">
        <v>65716.691074055649</v>
      </c>
      <c r="CB17" s="6">
        <v>69343.705518985502</v>
      </c>
      <c r="CC17" s="6">
        <v>70166.076629039468</v>
      </c>
      <c r="CD17" s="37">
        <v>69684.16048414816</v>
      </c>
      <c r="CE17" s="6">
        <v>69662.165112973758</v>
      </c>
      <c r="CF17" s="38">
        <v>22922</v>
      </c>
      <c r="CG17" s="22">
        <v>28468</v>
      </c>
      <c r="CH17" s="22">
        <v>30264</v>
      </c>
      <c r="CI17" s="22">
        <v>33132</v>
      </c>
      <c r="CJ17" s="22">
        <v>35828</v>
      </c>
      <c r="CK17" s="22">
        <v>35752</v>
      </c>
      <c r="CL17" s="22">
        <v>36629</v>
      </c>
      <c r="CM17" s="22">
        <v>37474</v>
      </c>
      <c r="CN17" s="22">
        <v>38329</v>
      </c>
      <c r="CO17" s="22">
        <v>39343.852723633157</v>
      </c>
      <c r="CP17" s="22">
        <v>40530.306335756497</v>
      </c>
      <c r="CQ17" s="22">
        <v>41703.432136580755</v>
      </c>
      <c r="CR17" s="23">
        <v>43379.2618510596</v>
      </c>
      <c r="CS17" s="23">
        <v>44822.212686565399</v>
      </c>
      <c r="CT17" s="23">
        <v>46892.832782835438</v>
      </c>
      <c r="CU17" s="23">
        <v>48572.175520394441</v>
      </c>
      <c r="CV17" s="23">
        <v>49894.392943132138</v>
      </c>
      <c r="CW17" s="11">
        <v>51204.55428592136</v>
      </c>
      <c r="CX17" s="6">
        <v>53583.397623822631</v>
      </c>
      <c r="CY17" s="6">
        <v>54686.273158500007</v>
      </c>
      <c r="CZ17" s="6">
        <v>56928.426888375456</v>
      </c>
      <c r="DA17" s="6">
        <v>58449.103093234204</v>
      </c>
      <c r="DB17" s="37">
        <v>58276.829570738846</v>
      </c>
      <c r="DC17" s="6">
        <v>59297.967202305474</v>
      </c>
      <c r="DD17" s="40">
        <v>18558</v>
      </c>
      <c r="DE17" s="22">
        <v>22710</v>
      </c>
      <c r="DF17" s="22">
        <v>23774</v>
      </c>
      <c r="DG17" s="22">
        <v>25014</v>
      </c>
      <c r="DH17" s="22">
        <v>26754</v>
      </c>
      <c r="DI17" s="22">
        <v>26247</v>
      </c>
      <c r="DJ17" s="22">
        <v>27792</v>
      </c>
      <c r="DK17" s="22">
        <v>29030</v>
      </c>
      <c r="DL17" s="22">
        <v>29847</v>
      </c>
      <c r="DM17" s="22">
        <v>30981.542017878786</v>
      </c>
      <c r="DN17" s="22">
        <v>30564.960791014499</v>
      </c>
      <c r="DO17" s="24">
        <v>30993.682566623378</v>
      </c>
      <c r="DP17" s="24">
        <v>31853.191703060107</v>
      </c>
      <c r="DQ17" s="24">
        <v>33087.21669923445</v>
      </c>
      <c r="DR17" s="6">
        <v>33884.759820573774</v>
      </c>
      <c r="DS17" s="6">
        <v>34995.228477303368</v>
      </c>
      <c r="DT17" s="6">
        <v>36178.114412600735</v>
      </c>
      <c r="DU17" s="11">
        <v>37324.403944372985</v>
      </c>
      <c r="DV17" s="6">
        <v>39456.064469671641</v>
      </c>
      <c r="DW17" s="6">
        <v>40443.465091206432</v>
      </c>
      <c r="DX17" s="6">
        <v>42251.073753417724</v>
      </c>
      <c r="DY17" s="6">
        <v>43312.089693540052</v>
      </c>
      <c r="DZ17" s="9">
        <v>43567.223700000002</v>
      </c>
      <c r="EA17" s="6">
        <v>44482.54244432717</v>
      </c>
    </row>
    <row r="18" spans="1:131">
      <c r="A18" s="21" t="s">
        <v>51</v>
      </c>
      <c r="B18" s="45">
        <v>17010</v>
      </c>
      <c r="C18" s="45">
        <v>18193</v>
      </c>
      <c r="D18" s="45">
        <v>20527</v>
      </c>
      <c r="E18" s="45">
        <v>22844</v>
      </c>
      <c r="F18" s="45">
        <v>25303</v>
      </c>
      <c r="G18" s="45">
        <v>25533</v>
      </c>
      <c r="H18" s="45">
        <v>26153</v>
      </c>
      <c r="I18" s="45">
        <v>27899</v>
      </c>
      <c r="J18" s="45">
        <v>27873</v>
      </c>
      <c r="K18" s="45">
        <v>29271</v>
      </c>
      <c r="L18" s="45">
        <v>29874</v>
      </c>
      <c r="M18" s="22">
        <v>30913</v>
      </c>
      <c r="N18" s="22">
        <v>33015</v>
      </c>
      <c r="O18" s="22">
        <v>37130</v>
      </c>
      <c r="P18" s="22">
        <v>39484</v>
      </c>
      <c r="Q18" s="22">
        <v>39604.347000000002</v>
      </c>
      <c r="R18" s="22">
        <v>38819.900549234997</v>
      </c>
      <c r="S18" s="22">
        <v>39796</v>
      </c>
      <c r="T18" s="22">
        <v>40366</v>
      </c>
      <c r="U18" s="52">
        <v>45872</v>
      </c>
      <c r="V18" s="52">
        <v>44879.8771389459</v>
      </c>
      <c r="W18" s="22">
        <v>44901.500175913869</v>
      </c>
      <c r="X18" s="23">
        <v>46874.336036178618</v>
      </c>
      <c r="Y18" s="23">
        <v>47804.161356563956</v>
      </c>
      <c r="Z18" s="37">
        <v>51662.313552382577</v>
      </c>
      <c r="AA18" s="6">
        <v>52288.860322674474</v>
      </c>
      <c r="AB18" s="6">
        <v>54502.688487996318</v>
      </c>
      <c r="AC18" s="6">
        <v>55652.832472882277</v>
      </c>
      <c r="AD18" s="6">
        <v>56165.103123546818</v>
      </c>
      <c r="AE18" s="6">
        <v>58590.123393760849</v>
      </c>
      <c r="AF18" s="6">
        <v>62974.57080555251</v>
      </c>
      <c r="AG18" s="6">
        <v>64828.932292628597</v>
      </c>
      <c r="AH18" s="6">
        <v>65474.383098579077</v>
      </c>
      <c r="AI18" s="6">
        <v>65908.823999419736</v>
      </c>
      <c r="AJ18" s="38">
        <v>33245</v>
      </c>
      <c r="AK18" s="22">
        <v>39369</v>
      </c>
      <c r="AL18" s="22">
        <v>42454</v>
      </c>
      <c r="AM18" s="22">
        <v>46817</v>
      </c>
      <c r="AN18" s="22">
        <v>50278</v>
      </c>
      <c r="AO18" s="22">
        <v>50932</v>
      </c>
      <c r="AP18" s="22">
        <v>50282</v>
      </c>
      <c r="AQ18" s="22">
        <v>51695</v>
      </c>
      <c r="AR18" s="22">
        <v>53117</v>
      </c>
      <c r="AS18" s="22">
        <v>60547.673254281952</v>
      </c>
      <c r="AT18" s="22">
        <v>61260.2194679565</v>
      </c>
      <c r="AU18" s="22">
        <v>60343.929730798016</v>
      </c>
      <c r="AV18" s="23">
        <v>63321.418058932482</v>
      </c>
      <c r="AW18" s="23">
        <v>64875.218491413398</v>
      </c>
      <c r="AX18" s="37">
        <v>70860.089931000693</v>
      </c>
      <c r="AY18" s="1">
        <v>71796.069063707779</v>
      </c>
      <c r="AZ18" s="1">
        <v>75568.474940648724</v>
      </c>
      <c r="BA18" s="1">
        <v>76785.516178470993</v>
      </c>
      <c r="BB18" s="6">
        <v>77644.82653552368</v>
      </c>
      <c r="BC18" s="6">
        <v>82166.598281920247</v>
      </c>
      <c r="BD18" s="6">
        <v>88542.409018573555</v>
      </c>
      <c r="BE18" s="6">
        <v>92252.59492686567</v>
      </c>
      <c r="BF18" s="37">
        <v>91676.451248076919</v>
      </c>
      <c r="BG18" s="6">
        <v>91274.647875301205</v>
      </c>
      <c r="BH18" s="38">
        <v>27232</v>
      </c>
      <c r="BI18" s="22">
        <v>32299</v>
      </c>
      <c r="BJ18" s="22">
        <v>34103</v>
      </c>
      <c r="BK18" s="22">
        <v>38183</v>
      </c>
      <c r="BL18" s="22">
        <v>41017</v>
      </c>
      <c r="BM18" s="22">
        <v>40283</v>
      </c>
      <c r="BN18" s="22">
        <v>39690</v>
      </c>
      <c r="BO18" s="22">
        <v>40527</v>
      </c>
      <c r="BP18" s="22">
        <v>41384</v>
      </c>
      <c r="BQ18" s="22">
        <v>47055.883524904217</v>
      </c>
      <c r="BR18" s="22">
        <v>46537.066314996198</v>
      </c>
      <c r="BS18" s="22">
        <v>46604.715590951608</v>
      </c>
      <c r="BT18" s="23">
        <v>48579.106447822705</v>
      </c>
      <c r="BU18" s="23">
        <v>49533.01323998424</v>
      </c>
      <c r="BV18" s="37">
        <v>53908.731209649872</v>
      </c>
      <c r="BW18" s="37">
        <v>54536.288322771601</v>
      </c>
      <c r="BX18" s="37">
        <v>56562.26983956631</v>
      </c>
      <c r="BY18" s="11">
        <v>57869.253706634307</v>
      </c>
      <c r="BZ18" s="6">
        <v>58737.442245731392</v>
      </c>
      <c r="CA18" s="6">
        <v>61653.65122277537</v>
      </c>
      <c r="CB18" s="6">
        <v>67123.467092425533</v>
      </c>
      <c r="CC18" s="6">
        <v>69603.664393734129</v>
      </c>
      <c r="CD18" s="37">
        <v>68777.562699664995</v>
      </c>
      <c r="CE18" s="6">
        <v>68556.594056930684</v>
      </c>
      <c r="CF18" s="38">
        <v>22778</v>
      </c>
      <c r="CG18" s="22">
        <v>27583</v>
      </c>
      <c r="CH18" s="22">
        <v>29240</v>
      </c>
      <c r="CI18" s="22">
        <v>32538</v>
      </c>
      <c r="CJ18" s="22">
        <v>34213</v>
      </c>
      <c r="CK18" s="22">
        <v>34458</v>
      </c>
      <c r="CL18" s="22">
        <v>33948</v>
      </c>
      <c r="CM18" s="22">
        <v>34606</v>
      </c>
      <c r="CN18" s="22">
        <v>35170</v>
      </c>
      <c r="CO18" s="22">
        <v>38797.982647814912</v>
      </c>
      <c r="CP18" s="22">
        <v>38549.284457478003</v>
      </c>
      <c r="CQ18" s="22">
        <v>39079.024362792836</v>
      </c>
      <c r="CR18" s="23">
        <v>40805.030295268385</v>
      </c>
      <c r="CS18" s="23">
        <v>41595.159787240002</v>
      </c>
      <c r="CT18" s="23">
        <v>45353.516217276869</v>
      </c>
      <c r="CU18" s="23">
        <v>46056.690814449394</v>
      </c>
      <c r="CV18" s="23">
        <v>48207.202901088269</v>
      </c>
      <c r="CW18" s="11">
        <v>49231.472291786355</v>
      </c>
      <c r="CX18" s="6">
        <v>50322.019797509296</v>
      </c>
      <c r="CY18" s="6">
        <v>52332.111051067594</v>
      </c>
      <c r="CZ18" s="6">
        <v>56486.702495855854</v>
      </c>
      <c r="DA18" s="6">
        <v>58178.913835718311</v>
      </c>
      <c r="DB18" s="37">
        <v>58139.87442454655</v>
      </c>
      <c r="DC18" s="6">
        <v>58066.627615221711</v>
      </c>
      <c r="DD18" s="40">
        <v>17825</v>
      </c>
      <c r="DE18" s="22">
        <v>20986</v>
      </c>
      <c r="DF18" s="22">
        <v>21962</v>
      </c>
      <c r="DG18" s="22">
        <v>24185</v>
      </c>
      <c r="DH18" s="22">
        <v>25649</v>
      </c>
      <c r="DI18" s="22">
        <v>25711</v>
      </c>
      <c r="DJ18" s="22">
        <v>25302</v>
      </c>
      <c r="DK18" s="22">
        <v>25723</v>
      </c>
      <c r="DL18" s="22">
        <v>26212</v>
      </c>
      <c r="DM18" s="22">
        <v>29627.870722433461</v>
      </c>
      <c r="DN18" s="22">
        <v>28905.338514680501</v>
      </c>
      <c r="DO18" s="24">
        <v>28932.360926388323</v>
      </c>
      <c r="DP18" s="24">
        <v>30282.591366807341</v>
      </c>
      <c r="DQ18" s="24">
        <v>30731.48167021637</v>
      </c>
      <c r="DR18" s="6">
        <v>32984.573304318816</v>
      </c>
      <c r="DS18" s="6">
        <v>33259.638974401438</v>
      </c>
      <c r="DT18" s="6">
        <v>34484.045358847514</v>
      </c>
      <c r="DU18" s="11">
        <v>35528.305347229354</v>
      </c>
      <c r="DV18" s="6">
        <v>36064.476254672729</v>
      </c>
      <c r="DW18" s="6">
        <v>37858.134908533801</v>
      </c>
      <c r="DX18" s="6">
        <v>40667.821484036394</v>
      </c>
      <c r="DY18" s="6">
        <v>42360.943879646016</v>
      </c>
      <c r="DZ18" s="9">
        <v>42529.406797375334</v>
      </c>
      <c r="EA18" s="6">
        <v>42506.175407272727</v>
      </c>
    </row>
    <row r="19" spans="1:131">
      <c r="A19" s="21" t="s">
        <v>52</v>
      </c>
      <c r="B19" s="45">
        <v>19297</v>
      </c>
      <c r="C19" s="45">
        <v>20329</v>
      </c>
      <c r="D19" s="45">
        <v>21927</v>
      </c>
      <c r="E19" s="45">
        <v>24417</v>
      </c>
      <c r="F19" s="45">
        <v>24754</v>
      </c>
      <c r="G19" s="45">
        <v>28202</v>
      </c>
      <c r="H19" s="45">
        <v>28296</v>
      </c>
      <c r="I19" s="45">
        <v>31546</v>
      </c>
      <c r="J19" s="45">
        <v>33925</v>
      </c>
      <c r="K19" s="45">
        <v>36112</v>
      </c>
      <c r="L19" s="45">
        <v>37356</v>
      </c>
      <c r="M19" s="22">
        <v>41041</v>
      </c>
      <c r="N19" s="22">
        <v>44384</v>
      </c>
      <c r="O19" s="22">
        <v>47085</v>
      </c>
      <c r="P19" s="22">
        <v>47312</v>
      </c>
      <c r="Q19" s="22">
        <v>47423.939652634697</v>
      </c>
      <c r="R19" s="22">
        <v>47242.357461428197</v>
      </c>
      <c r="S19" s="22">
        <v>50046</v>
      </c>
      <c r="T19" s="22">
        <v>52525</v>
      </c>
      <c r="U19" s="22">
        <v>53405</v>
      </c>
      <c r="V19" s="22">
        <v>55176.401277334102</v>
      </c>
      <c r="W19" s="22">
        <v>58074.988498414954</v>
      </c>
      <c r="X19" s="23">
        <v>59319.198784243119</v>
      </c>
      <c r="Y19" s="23">
        <v>62620.916768938783</v>
      </c>
      <c r="Z19" s="37">
        <v>67584.878857665462</v>
      </c>
      <c r="AA19" s="6">
        <v>67978.123258314357</v>
      </c>
      <c r="AB19" s="6">
        <v>68297.934556059117</v>
      </c>
      <c r="AC19" s="6">
        <v>71138.737991764428</v>
      </c>
      <c r="AD19" s="6">
        <v>72413.833338342229</v>
      </c>
      <c r="AE19" s="6">
        <v>76409.649729303492</v>
      </c>
      <c r="AF19" s="6">
        <v>77248.414428381569</v>
      </c>
      <c r="AG19" s="6">
        <v>80634.366753341586</v>
      </c>
      <c r="AH19" s="6">
        <v>81158.682618265375</v>
      </c>
      <c r="AI19" s="6">
        <v>87322.115685592813</v>
      </c>
      <c r="AJ19" s="38">
        <v>37883</v>
      </c>
      <c r="AK19" s="22">
        <v>54931</v>
      </c>
      <c r="AL19" s="22">
        <v>59556</v>
      </c>
      <c r="AM19" s="22">
        <v>62659</v>
      </c>
      <c r="AN19" s="22">
        <v>62361</v>
      </c>
      <c r="AO19" s="22">
        <v>62581</v>
      </c>
      <c r="AP19" s="22">
        <v>63478</v>
      </c>
      <c r="AQ19" s="22">
        <v>66360</v>
      </c>
      <c r="AR19" s="22">
        <v>69623</v>
      </c>
      <c r="AS19" s="22">
        <v>70954.616105253735</v>
      </c>
      <c r="AT19" s="22">
        <v>73064.740984463802</v>
      </c>
      <c r="AU19" s="22">
        <v>78131.626378272631</v>
      </c>
      <c r="AV19" s="23">
        <v>79305.938568398953</v>
      </c>
      <c r="AW19" s="23">
        <v>84596.458712163541</v>
      </c>
      <c r="AX19" s="37">
        <v>92493.072026574722</v>
      </c>
      <c r="AY19" s="1">
        <v>93584.099972884476</v>
      </c>
      <c r="AZ19" s="1">
        <v>94232.270392385399</v>
      </c>
      <c r="BA19" s="1">
        <v>97512.34650987132</v>
      </c>
      <c r="BB19" s="6">
        <v>100432.30744798489</v>
      </c>
      <c r="BC19" s="6">
        <v>105117.45266690211</v>
      </c>
      <c r="BD19" s="6">
        <v>109074.88317673378</v>
      </c>
      <c r="BE19" s="6">
        <v>114446.36496282528</v>
      </c>
      <c r="BF19" s="37">
        <v>114903.87663006273</v>
      </c>
      <c r="BG19" s="6">
        <v>114004.12994166066</v>
      </c>
      <c r="BH19" s="38">
        <v>29031</v>
      </c>
      <c r="BI19" s="22">
        <v>40929</v>
      </c>
      <c r="BJ19" s="22">
        <v>44285</v>
      </c>
      <c r="BK19" s="22">
        <v>46813</v>
      </c>
      <c r="BL19" s="22">
        <v>46401</v>
      </c>
      <c r="BM19" s="22">
        <v>46297</v>
      </c>
      <c r="BN19" s="22">
        <v>46499</v>
      </c>
      <c r="BO19" s="22">
        <v>48566</v>
      </c>
      <c r="BP19" s="22">
        <v>50594</v>
      </c>
      <c r="BQ19" s="22">
        <v>51568.093698300661</v>
      </c>
      <c r="BR19" s="22">
        <v>52940.0258830292</v>
      </c>
      <c r="BS19" s="22">
        <v>55208.031929338678</v>
      </c>
      <c r="BT19" s="23">
        <v>58536.530472616716</v>
      </c>
      <c r="BU19" s="23">
        <v>61628.582179174598</v>
      </c>
      <c r="BV19" s="37">
        <v>67577.188395063058</v>
      </c>
      <c r="BW19" s="37">
        <v>67300.303665172411</v>
      </c>
      <c r="BX19" s="37">
        <v>66996.407152948668</v>
      </c>
      <c r="BY19" s="11">
        <v>69131.775034762788</v>
      </c>
      <c r="BZ19" s="6">
        <v>71699.753730152734</v>
      </c>
      <c r="CA19" s="6">
        <v>75071.28954485897</v>
      </c>
      <c r="CB19" s="6">
        <v>78080.271041932705</v>
      </c>
      <c r="CC19" s="6">
        <v>82252.349980265353</v>
      </c>
      <c r="CD19" s="37">
        <v>81861.616236754213</v>
      </c>
      <c r="CE19" s="6">
        <v>81246.602108148145</v>
      </c>
      <c r="CF19" s="38">
        <v>23508</v>
      </c>
      <c r="CG19" s="22">
        <v>33817</v>
      </c>
      <c r="CH19" s="22">
        <v>36854</v>
      </c>
      <c r="CI19" s="22">
        <v>38839</v>
      </c>
      <c r="CJ19" s="22">
        <v>38846</v>
      </c>
      <c r="CK19" s="22">
        <v>39051</v>
      </c>
      <c r="CL19" s="22">
        <v>39331</v>
      </c>
      <c r="CM19" s="22">
        <v>41148</v>
      </c>
      <c r="CN19" s="22">
        <v>42631</v>
      </c>
      <c r="CO19" s="22">
        <v>42894.736449154785</v>
      </c>
      <c r="CP19" s="22">
        <v>44185.131401478997</v>
      </c>
      <c r="CQ19" s="22">
        <v>46258.470537951005</v>
      </c>
      <c r="CR19" s="23">
        <v>48664.304927264471</v>
      </c>
      <c r="CS19" s="23">
        <v>52105.847301244023</v>
      </c>
      <c r="CT19" s="23">
        <v>57067.836390626959</v>
      </c>
      <c r="CU19" s="23">
        <v>56153.265682173915</v>
      </c>
      <c r="CV19" s="23">
        <v>56031.234365228243</v>
      </c>
      <c r="CW19" s="11">
        <v>58841.480191315793</v>
      </c>
      <c r="CX19" s="6">
        <v>59622.018914944441</v>
      </c>
      <c r="CY19" s="6">
        <v>62929.464551911646</v>
      </c>
      <c r="CZ19" s="6">
        <v>64427.675780844162</v>
      </c>
      <c r="DA19" s="6">
        <v>67998.860854392668</v>
      </c>
      <c r="DB19" s="37">
        <v>68004.721256122037</v>
      </c>
      <c r="DC19" s="6">
        <v>67834.493388760588</v>
      </c>
      <c r="DD19" s="40">
        <v>17879</v>
      </c>
      <c r="DE19" s="22">
        <v>25789</v>
      </c>
      <c r="DF19" s="22">
        <v>27957</v>
      </c>
      <c r="DG19" s="22">
        <v>28989</v>
      </c>
      <c r="DH19" s="22">
        <v>29627</v>
      </c>
      <c r="DI19" s="22">
        <v>29027</v>
      </c>
      <c r="DJ19" s="22">
        <v>29257</v>
      </c>
      <c r="DK19" s="22">
        <v>32350</v>
      </c>
      <c r="DL19" s="22">
        <v>33579</v>
      </c>
      <c r="DM19" s="22">
        <v>34703.639491862072</v>
      </c>
      <c r="DN19" s="22">
        <v>35983.807656760597</v>
      </c>
      <c r="DO19" s="24">
        <v>35644.215884785284</v>
      </c>
      <c r="DP19" s="24">
        <v>39155.663643759399</v>
      </c>
      <c r="DQ19" s="24">
        <v>41883.766714890509</v>
      </c>
      <c r="DR19" s="6">
        <v>45743.928206444441</v>
      </c>
      <c r="DS19" s="6">
        <v>45099.15527090909</v>
      </c>
      <c r="DT19" s="6">
        <v>46619.964469277584</v>
      </c>
      <c r="DU19" s="11">
        <v>47199.430832816906</v>
      </c>
      <c r="DV19" s="6">
        <v>48277.269265737705</v>
      </c>
      <c r="DW19" s="6">
        <v>50850.140490992366</v>
      </c>
      <c r="DX19" s="6">
        <v>52291.185568503934</v>
      </c>
      <c r="DY19" s="6">
        <v>51910.734613207547</v>
      </c>
      <c r="DZ19" s="9">
        <v>53947.832794660695</v>
      </c>
      <c r="EA19" s="6">
        <v>45021.114583333336</v>
      </c>
    </row>
    <row r="20" spans="1:131">
      <c r="A20" s="21" t="s">
        <v>53</v>
      </c>
      <c r="B20" s="45">
        <v>17129</v>
      </c>
      <c r="C20" s="45">
        <v>16216</v>
      </c>
      <c r="D20" s="45">
        <v>19098</v>
      </c>
      <c r="E20" s="45">
        <v>21300</v>
      </c>
      <c r="F20" s="45">
        <v>23676</v>
      </c>
      <c r="G20" s="45">
        <v>23765</v>
      </c>
      <c r="H20" s="45">
        <v>26521</v>
      </c>
      <c r="I20" s="45">
        <v>27663</v>
      </c>
      <c r="J20" s="45">
        <v>29264</v>
      </c>
      <c r="K20" s="45">
        <v>29540</v>
      </c>
      <c r="L20" s="45">
        <v>31530</v>
      </c>
      <c r="M20" s="22">
        <v>34704</v>
      </c>
      <c r="N20" s="22">
        <v>35008</v>
      </c>
      <c r="O20" s="22">
        <v>35346</v>
      </c>
      <c r="P20" s="22">
        <v>36427</v>
      </c>
      <c r="Q20" s="22">
        <v>39291.469557296397</v>
      </c>
      <c r="R20" s="22">
        <v>40800.318039327401</v>
      </c>
      <c r="S20" s="22">
        <v>44280</v>
      </c>
      <c r="T20" s="22">
        <v>45359</v>
      </c>
      <c r="U20" s="22">
        <v>44849</v>
      </c>
      <c r="V20" s="22">
        <v>46019.618298963898</v>
      </c>
      <c r="W20" s="22">
        <v>48605.690607901772</v>
      </c>
      <c r="X20" s="23">
        <v>51226.209407348033</v>
      </c>
      <c r="Y20" s="23">
        <v>51550.75887589364</v>
      </c>
      <c r="Z20" s="37">
        <v>52394.499422683752</v>
      </c>
      <c r="AA20" s="6">
        <v>53330.474875466753</v>
      </c>
      <c r="AB20" s="6">
        <v>54362.323138095242</v>
      </c>
      <c r="AC20" s="6">
        <v>56015.265488358025</v>
      </c>
      <c r="AD20" s="6">
        <v>56076.323531952919</v>
      </c>
      <c r="AE20" s="6">
        <v>59930.282711775646</v>
      </c>
      <c r="AF20" s="6">
        <v>62652.964899937579</v>
      </c>
      <c r="AG20" s="6">
        <v>62770.992606152904</v>
      </c>
      <c r="AH20" s="6">
        <v>62528.093971512135</v>
      </c>
      <c r="AI20" s="6">
        <v>62816.482272798901</v>
      </c>
      <c r="AJ20" s="38">
        <v>33719</v>
      </c>
      <c r="AK20" s="22">
        <v>43709</v>
      </c>
      <c r="AL20" s="22">
        <v>44160</v>
      </c>
      <c r="AM20" s="22">
        <v>44704</v>
      </c>
      <c r="AN20" s="22">
        <v>45719</v>
      </c>
      <c r="AO20" s="22">
        <v>49123</v>
      </c>
      <c r="AP20" s="22">
        <v>51171</v>
      </c>
      <c r="AQ20" s="22">
        <v>55468</v>
      </c>
      <c r="AR20" s="22">
        <v>56626</v>
      </c>
      <c r="AS20" s="22">
        <v>56840.175917497079</v>
      </c>
      <c r="AT20" s="22">
        <v>58996.477772394399</v>
      </c>
      <c r="AU20" s="22">
        <v>63203.130346864993</v>
      </c>
      <c r="AV20" s="23">
        <v>67863.820860179563</v>
      </c>
      <c r="AW20" s="23">
        <v>67436.700283160273</v>
      </c>
      <c r="AX20" s="37">
        <v>69025.542739954079</v>
      </c>
      <c r="AY20" s="1">
        <v>69443.259846711124</v>
      </c>
      <c r="AZ20" s="1">
        <v>71262.490392743362</v>
      </c>
      <c r="BA20" s="1">
        <v>74189.428105316154</v>
      </c>
      <c r="BB20" s="6">
        <v>74547.582000093127</v>
      </c>
      <c r="BC20" s="6">
        <v>81252.207515895425</v>
      </c>
      <c r="BD20" s="6">
        <v>85737.730529442968</v>
      </c>
      <c r="BE20" s="6">
        <v>86755.191014814816</v>
      </c>
      <c r="BF20" s="37">
        <v>87872.32668994565</v>
      </c>
      <c r="BG20" s="6">
        <v>86896.227739107344</v>
      </c>
      <c r="BH20" s="38">
        <v>27006</v>
      </c>
      <c r="BI20" s="22">
        <v>35471</v>
      </c>
      <c r="BJ20" s="22">
        <v>35697</v>
      </c>
      <c r="BK20" s="22">
        <v>35859</v>
      </c>
      <c r="BL20" s="22">
        <v>36820</v>
      </c>
      <c r="BM20" s="22">
        <v>39613</v>
      </c>
      <c r="BN20" s="22">
        <v>41586</v>
      </c>
      <c r="BO20" s="22">
        <v>44265</v>
      </c>
      <c r="BP20" s="22">
        <v>45723</v>
      </c>
      <c r="BQ20" s="22">
        <v>46025.544448831912</v>
      </c>
      <c r="BR20" s="22">
        <v>47816.442872503598</v>
      </c>
      <c r="BS20" s="22">
        <v>50413.162210679882</v>
      </c>
      <c r="BT20" s="23">
        <v>53011.386656370967</v>
      </c>
      <c r="BU20" s="23">
        <v>53775.970412370261</v>
      </c>
      <c r="BV20" s="37">
        <v>54538.558890565524</v>
      </c>
      <c r="BW20" s="37">
        <v>56216.946474145661</v>
      </c>
      <c r="BX20" s="37">
        <v>57113.278629529086</v>
      </c>
      <c r="BY20" s="11">
        <v>59528.154502063269</v>
      </c>
      <c r="BZ20" s="6">
        <v>59150.467855904259</v>
      </c>
      <c r="CA20" s="6">
        <v>63500.173828098705</v>
      </c>
      <c r="CB20" s="6">
        <v>68059.424645569627</v>
      </c>
      <c r="CC20" s="6">
        <v>68351.619790437151</v>
      </c>
      <c r="CD20" s="37">
        <v>67184.379283703704</v>
      </c>
      <c r="CE20" s="6">
        <v>67331.25147659854</v>
      </c>
      <c r="CF20" s="38">
        <v>22475</v>
      </c>
      <c r="CG20" s="22">
        <v>30137</v>
      </c>
      <c r="CH20" s="22">
        <v>30423</v>
      </c>
      <c r="CI20" s="22">
        <v>30924</v>
      </c>
      <c r="CJ20" s="22">
        <v>32279</v>
      </c>
      <c r="CK20" s="22">
        <v>34357</v>
      </c>
      <c r="CL20" s="22">
        <v>35619</v>
      </c>
      <c r="CM20" s="22">
        <v>38540</v>
      </c>
      <c r="CN20" s="22">
        <v>39203</v>
      </c>
      <c r="CO20" s="22">
        <v>39308.606688766158</v>
      </c>
      <c r="CP20" s="22">
        <v>39481.565563368698</v>
      </c>
      <c r="CQ20" s="22">
        <v>41320.563098671329</v>
      </c>
      <c r="CR20" s="23">
        <v>43856.688226212951</v>
      </c>
      <c r="CS20" s="23">
        <v>43758.49358200431</v>
      </c>
      <c r="CT20" s="23">
        <v>44866.311576685082</v>
      </c>
      <c r="CU20" s="23">
        <v>46937.155233238576</v>
      </c>
      <c r="CV20" s="23">
        <v>48217.280275875484</v>
      </c>
      <c r="CW20" s="11">
        <v>50295.682955693155</v>
      </c>
      <c r="CX20" s="6">
        <v>50643.17470993688</v>
      </c>
      <c r="CY20" s="6">
        <v>54683.021549163503</v>
      </c>
      <c r="CZ20" s="6">
        <v>56669.771252689148</v>
      </c>
      <c r="DA20" s="6">
        <v>57024.471461270667</v>
      </c>
      <c r="DB20" s="37">
        <v>56703.512490579087</v>
      </c>
      <c r="DC20" s="6">
        <v>57791.179785715409</v>
      </c>
      <c r="DD20" s="40">
        <v>17929</v>
      </c>
      <c r="DE20" s="22">
        <v>22103</v>
      </c>
      <c r="DF20" s="22">
        <v>22245</v>
      </c>
      <c r="DG20" s="22">
        <v>21849</v>
      </c>
      <c r="DH20" s="22">
        <v>22342</v>
      </c>
      <c r="DI20" s="22">
        <v>24701</v>
      </c>
      <c r="DJ20" s="22">
        <v>26260</v>
      </c>
      <c r="DK20" s="22">
        <v>28793</v>
      </c>
      <c r="DL20" s="22">
        <v>29327</v>
      </c>
      <c r="DM20" s="22">
        <v>29130.785896160458</v>
      </c>
      <c r="DN20" s="22">
        <v>30175.6493339466</v>
      </c>
      <c r="DO20" s="24">
        <v>31152.902426783628</v>
      </c>
      <c r="DP20" s="24">
        <v>30631.009981624367</v>
      </c>
      <c r="DQ20" s="24">
        <v>33625.487142615799</v>
      </c>
      <c r="DR20" s="6">
        <v>33300.972949698495</v>
      </c>
      <c r="DS20" s="6">
        <v>34850.377106681321</v>
      </c>
      <c r="DT20" s="6">
        <v>34846.271493320462</v>
      </c>
      <c r="DU20" s="11">
        <v>35892.881952643678</v>
      </c>
      <c r="DV20" s="6">
        <v>35998.532547635012</v>
      </c>
      <c r="DW20" s="6">
        <v>38818.012641328547</v>
      </c>
      <c r="DX20" s="6">
        <v>40215.360103061226</v>
      </c>
      <c r="DY20" s="6">
        <v>41251.434512377855</v>
      </c>
      <c r="DZ20" s="9">
        <v>41673.343213953485</v>
      </c>
      <c r="EA20" s="6">
        <v>41829.063639444103</v>
      </c>
    </row>
    <row r="21" spans="1:131">
      <c r="A21" s="21" t="s">
        <v>54</v>
      </c>
      <c r="B21" s="45">
        <v>18667</v>
      </c>
      <c r="C21" s="45">
        <v>20049</v>
      </c>
      <c r="D21" s="45">
        <v>21490</v>
      </c>
      <c r="E21" s="45">
        <v>24528</v>
      </c>
      <c r="F21" s="45">
        <v>24519</v>
      </c>
      <c r="G21" s="45">
        <v>26692</v>
      </c>
      <c r="H21" s="45">
        <v>28071</v>
      </c>
      <c r="I21" s="45">
        <v>31003</v>
      </c>
      <c r="J21" s="45">
        <v>34034</v>
      </c>
      <c r="K21" s="45">
        <v>35676</v>
      </c>
      <c r="L21" s="45">
        <v>37552</v>
      </c>
      <c r="M21" s="22">
        <v>39269</v>
      </c>
      <c r="N21" s="22">
        <v>41295</v>
      </c>
      <c r="O21" s="22">
        <v>43849</v>
      </c>
      <c r="P21" s="22">
        <v>44122</v>
      </c>
      <c r="Q21" s="22">
        <v>44680.581833795201</v>
      </c>
      <c r="R21" s="22">
        <v>46283.888523706199</v>
      </c>
      <c r="S21" s="22">
        <v>49017</v>
      </c>
      <c r="T21" s="22">
        <v>49942</v>
      </c>
      <c r="U21" s="22">
        <v>52954</v>
      </c>
      <c r="V21" s="22">
        <v>54929.589999152297</v>
      </c>
      <c r="W21" s="22">
        <v>56311.303294756333</v>
      </c>
      <c r="X21" s="23">
        <v>58568.178820084868</v>
      </c>
      <c r="Y21" s="23">
        <v>61617.912261759535</v>
      </c>
      <c r="Z21" s="37">
        <v>62408.495734113792</v>
      </c>
      <c r="AA21" s="6">
        <v>63848.951531472099</v>
      </c>
      <c r="AB21" s="6">
        <v>63861.040541944843</v>
      </c>
      <c r="AC21" s="6">
        <v>66853.797687359664</v>
      </c>
      <c r="AD21" s="6">
        <v>68047.98691216232</v>
      </c>
      <c r="AE21" s="6">
        <v>72492.555204897959</v>
      </c>
      <c r="AF21" s="6">
        <v>76740.598491398283</v>
      </c>
      <c r="AG21" s="6">
        <v>79395.164297063646</v>
      </c>
      <c r="AH21" s="6">
        <v>79533.217853819646</v>
      </c>
      <c r="AI21" s="6">
        <v>79332.810015933195</v>
      </c>
      <c r="AJ21" s="38">
        <v>36797</v>
      </c>
      <c r="AK21" s="22">
        <v>51339</v>
      </c>
      <c r="AL21" s="22">
        <v>54457</v>
      </c>
      <c r="AM21" s="22">
        <v>57662</v>
      </c>
      <c r="AN21" s="22">
        <v>57405</v>
      </c>
      <c r="AO21" s="22">
        <v>58418</v>
      </c>
      <c r="AP21" s="22">
        <v>60499</v>
      </c>
      <c r="AQ21" s="22">
        <v>63990</v>
      </c>
      <c r="AR21" s="22">
        <v>65243</v>
      </c>
      <c r="AS21" s="22">
        <v>69507.566995912217</v>
      </c>
      <c r="AT21" s="22">
        <v>72367.772315060298</v>
      </c>
      <c r="AU21" s="22">
        <v>74352.270553739741</v>
      </c>
      <c r="AV21" s="23">
        <v>77923.948500459766</v>
      </c>
      <c r="AW21" s="23">
        <v>82609.143757559097</v>
      </c>
      <c r="AX21" s="37">
        <v>84171.910671019505</v>
      </c>
      <c r="AY21" s="1">
        <v>86221.584366460491</v>
      </c>
      <c r="AZ21" s="1">
        <v>85698.830193258866</v>
      </c>
      <c r="BA21" s="1">
        <v>90425.381106756977</v>
      </c>
      <c r="BB21" s="6">
        <v>92714.426097038202</v>
      </c>
      <c r="BC21" s="6">
        <v>100330.17983578162</v>
      </c>
      <c r="BD21" s="6">
        <v>107595.71690407065</v>
      </c>
      <c r="BE21" s="6">
        <v>110937.47663361469</v>
      </c>
      <c r="BF21" s="37">
        <v>110977.8663939695</v>
      </c>
      <c r="BG21" s="6">
        <v>111209.74035163083</v>
      </c>
      <c r="BH21" s="38">
        <v>28114</v>
      </c>
      <c r="BI21" s="22">
        <v>38965</v>
      </c>
      <c r="BJ21" s="22">
        <v>41305</v>
      </c>
      <c r="BK21" s="22">
        <v>43662</v>
      </c>
      <c r="BL21" s="22">
        <v>43384</v>
      </c>
      <c r="BM21" s="22">
        <v>43753</v>
      </c>
      <c r="BN21" s="22">
        <v>45466</v>
      </c>
      <c r="BO21" s="22">
        <v>48096</v>
      </c>
      <c r="BP21" s="22">
        <v>48278</v>
      </c>
      <c r="BQ21" s="22">
        <v>51140.768408028503</v>
      </c>
      <c r="BR21" s="22">
        <v>53204.642302685999</v>
      </c>
      <c r="BS21" s="22">
        <v>54852.66376298161</v>
      </c>
      <c r="BT21" s="23">
        <v>57111.849589245838</v>
      </c>
      <c r="BU21" s="23">
        <v>60349.799292073774</v>
      </c>
      <c r="BV21" s="37">
        <v>61516.454406313685</v>
      </c>
      <c r="BW21" s="37">
        <v>62558.730887980491</v>
      </c>
      <c r="BX21" s="37">
        <v>62699.406438791571</v>
      </c>
      <c r="BY21" s="11">
        <v>65557.840530913236</v>
      </c>
      <c r="BZ21" s="6">
        <v>67176.697312077638</v>
      </c>
      <c r="CA21" s="6">
        <v>72832.070424151592</v>
      </c>
      <c r="CB21" s="6">
        <v>77196.103910797741</v>
      </c>
      <c r="CC21" s="6">
        <v>80059.816921444872</v>
      </c>
      <c r="CD21" s="37">
        <v>79272.397933668341</v>
      </c>
      <c r="CE21" s="6">
        <v>78771.143588214662</v>
      </c>
      <c r="CF21" s="38">
        <v>23521</v>
      </c>
      <c r="CG21" s="22">
        <v>32759</v>
      </c>
      <c r="CH21" s="22">
        <v>34727</v>
      </c>
      <c r="CI21" s="22">
        <v>36440</v>
      </c>
      <c r="CJ21" s="22">
        <v>36156</v>
      </c>
      <c r="CK21" s="22">
        <v>37011</v>
      </c>
      <c r="CL21" s="22">
        <v>38512</v>
      </c>
      <c r="CM21" s="22">
        <v>40700</v>
      </c>
      <c r="CN21" s="22">
        <v>41281</v>
      </c>
      <c r="CO21" s="22">
        <v>43434.639483406063</v>
      </c>
      <c r="CP21" s="22">
        <v>44627.060345143604</v>
      </c>
      <c r="CQ21" s="22">
        <v>45917.651923423313</v>
      </c>
      <c r="CR21" s="23">
        <v>48013.172746124277</v>
      </c>
      <c r="CS21" s="23">
        <v>50353.156356772073</v>
      </c>
      <c r="CT21" s="23">
        <v>52173.856939822115</v>
      </c>
      <c r="CU21" s="23">
        <v>53274.548972046781</v>
      </c>
      <c r="CV21" s="23">
        <v>54143.446818086319</v>
      </c>
      <c r="CW21" s="11">
        <v>57199.205204932739</v>
      </c>
      <c r="CX21" s="6">
        <v>58274.265159565031</v>
      </c>
      <c r="CY21" s="6">
        <v>62288.91146273927</v>
      </c>
      <c r="CZ21" s="6">
        <v>65584.582604834301</v>
      </c>
      <c r="DA21" s="6">
        <v>67843.649939743118</v>
      </c>
      <c r="DB21" s="37">
        <v>66985.211817031071</v>
      </c>
      <c r="DC21" s="6">
        <v>67119.989633777426</v>
      </c>
      <c r="DD21" s="40">
        <v>19605</v>
      </c>
      <c r="DE21" s="22">
        <v>27010</v>
      </c>
      <c r="DF21" s="22">
        <v>28393</v>
      </c>
      <c r="DG21" s="22">
        <v>31475</v>
      </c>
      <c r="DH21" s="22">
        <v>29818</v>
      </c>
      <c r="DI21" s="22">
        <v>29735</v>
      </c>
      <c r="DJ21" s="22">
        <v>32902</v>
      </c>
      <c r="DK21" s="22">
        <v>35042</v>
      </c>
      <c r="DL21" s="22">
        <v>35310</v>
      </c>
      <c r="DM21" s="22">
        <v>37424.522937209302</v>
      </c>
      <c r="DN21" s="22">
        <v>38758.519862619003</v>
      </c>
      <c r="DO21" s="24">
        <v>37316.894717027033</v>
      </c>
      <c r="DP21" s="24">
        <v>40544.285229743589</v>
      </c>
      <c r="DQ21" s="24">
        <v>43994.062132000006</v>
      </c>
      <c r="DR21" s="6">
        <v>43006.126850721645</v>
      </c>
      <c r="DS21" s="6">
        <v>44678.870968421048</v>
      </c>
      <c r="DT21" s="6">
        <v>47056.484542600003</v>
      </c>
      <c r="DU21" s="11">
        <v>50207.157601265819</v>
      </c>
      <c r="DV21" s="6">
        <v>53578.307761999997</v>
      </c>
      <c r="DW21" s="6">
        <v>51325.13046894117</v>
      </c>
      <c r="DX21" s="6">
        <v>53819.261618348624</v>
      </c>
      <c r="DY21" s="6">
        <v>59967.940205747131</v>
      </c>
      <c r="DZ21" s="9">
        <v>58952.187439790578</v>
      </c>
      <c r="EA21" s="6">
        <v>57502.924204678369</v>
      </c>
    </row>
    <row r="22" spans="1:131">
      <c r="A22" s="21" t="s">
        <v>55</v>
      </c>
      <c r="B22" s="36">
        <v>16928</v>
      </c>
      <c r="C22" s="36">
        <v>18117</v>
      </c>
      <c r="D22" s="36">
        <v>19441</v>
      </c>
      <c r="E22" s="36">
        <v>21998</v>
      </c>
      <c r="F22" s="36">
        <v>24635</v>
      </c>
      <c r="G22" s="47">
        <v>27809</v>
      </c>
      <c r="H22" s="36">
        <v>27454</v>
      </c>
      <c r="I22" s="36">
        <v>27823</v>
      </c>
      <c r="J22" s="36">
        <v>31531</v>
      </c>
      <c r="K22" s="36">
        <v>31474</v>
      </c>
      <c r="L22" s="36">
        <v>32149</v>
      </c>
      <c r="M22" s="22">
        <v>34289</v>
      </c>
      <c r="N22" s="22">
        <v>36573</v>
      </c>
      <c r="O22" s="22">
        <v>38904</v>
      </c>
      <c r="P22" s="22">
        <v>39679</v>
      </c>
      <c r="Q22" s="22">
        <v>40496.431941818199</v>
      </c>
      <c r="R22" s="22">
        <v>41336.000415518902</v>
      </c>
      <c r="S22" s="22">
        <v>42433</v>
      </c>
      <c r="T22" s="22">
        <v>43416</v>
      </c>
      <c r="U22" s="22">
        <v>45249</v>
      </c>
      <c r="V22" s="22">
        <v>47613.690915077401</v>
      </c>
      <c r="W22" s="22">
        <v>48398.441588636975</v>
      </c>
      <c r="X22" s="23">
        <v>50805.25856950591</v>
      </c>
      <c r="Y22" s="23">
        <v>52512</v>
      </c>
      <c r="Z22" s="37">
        <v>53957.176100838013</v>
      </c>
      <c r="AA22" s="6">
        <v>54037.226511057997</v>
      </c>
      <c r="AB22" s="6">
        <v>54629.23868621976</v>
      </c>
      <c r="AC22" s="6">
        <v>57105.910081422808</v>
      </c>
      <c r="AD22" s="6">
        <v>59803.875988429339</v>
      </c>
      <c r="AE22" s="6">
        <v>63236.976196047086</v>
      </c>
      <c r="AF22" s="6">
        <v>64773.340603694072</v>
      </c>
      <c r="AG22" s="6">
        <v>66782.071992002078</v>
      </c>
      <c r="AH22" s="6">
        <v>66620.046984630986</v>
      </c>
      <c r="AI22" s="6">
        <v>66816.984268899527</v>
      </c>
      <c r="AJ22" s="38">
        <f>((535*36916)+(381*32635))/(535+381)</f>
        <v>35135.365720524016</v>
      </c>
      <c r="AK22" s="22">
        <v>42548</v>
      </c>
      <c r="AL22" s="22">
        <v>45307</v>
      </c>
      <c r="AM22" s="22">
        <v>48646</v>
      </c>
      <c r="AN22" s="22">
        <v>49896</v>
      </c>
      <c r="AO22" s="22">
        <v>50826</v>
      </c>
      <c r="AP22" s="22">
        <v>51674</v>
      </c>
      <c r="AQ22" s="22">
        <v>53546</v>
      </c>
      <c r="AR22" s="22">
        <v>55549</v>
      </c>
      <c r="AS22" s="22">
        <v>58439.042256849738</v>
      </c>
      <c r="AT22" s="22">
        <v>63095.176752502601</v>
      </c>
      <c r="AU22" s="22">
        <v>63246.65340717489</v>
      </c>
      <c r="AV22" s="23">
        <v>66918.574360636456</v>
      </c>
      <c r="AW22" s="23">
        <v>65223.585393960282</v>
      </c>
      <c r="AX22" s="37">
        <v>74270.564064727994</v>
      </c>
      <c r="AY22" s="1">
        <v>72430.98448821764</v>
      </c>
      <c r="AZ22" s="1">
        <v>74314.84012064815</v>
      </c>
      <c r="BA22" s="1">
        <v>77807.08122206961</v>
      </c>
      <c r="BB22" s="6">
        <v>81635.554825451167</v>
      </c>
      <c r="BC22" s="6">
        <v>87789.656598356669</v>
      </c>
      <c r="BD22" s="6">
        <v>91656.727021980027</v>
      </c>
      <c r="BE22" s="6">
        <v>93634.026493275116</v>
      </c>
      <c r="BF22" s="37">
        <v>92940.646662867017</v>
      </c>
      <c r="BG22" s="6">
        <v>94344.138759067355</v>
      </c>
      <c r="BH22" s="38">
        <f>((442*28419)+(295*29482))/(442+295)</f>
        <v>28844.488466757124</v>
      </c>
      <c r="BI22" s="22">
        <v>35427</v>
      </c>
      <c r="BJ22" s="22">
        <v>37299</v>
      </c>
      <c r="BK22" s="22">
        <v>39850</v>
      </c>
      <c r="BL22" s="22">
        <v>40783</v>
      </c>
      <c r="BM22" s="22">
        <v>40696</v>
      </c>
      <c r="BN22" s="22">
        <v>41510</v>
      </c>
      <c r="BO22" s="22">
        <v>42352</v>
      </c>
      <c r="BP22" s="22">
        <v>43092</v>
      </c>
      <c r="BQ22" s="22">
        <v>44875.19072725514</v>
      </c>
      <c r="BR22" s="22">
        <v>46916.989202347402</v>
      </c>
      <c r="BS22" s="22">
        <v>48526.716868614996</v>
      </c>
      <c r="BT22" s="23">
        <v>50737.640179904192</v>
      </c>
      <c r="BU22" s="23">
        <v>52468.216998907767</v>
      </c>
      <c r="BV22" s="37">
        <v>54248.101192154965</v>
      </c>
      <c r="BW22" s="37">
        <v>54190.788240533984</v>
      </c>
      <c r="BX22" s="37">
        <v>54315.864182658384</v>
      </c>
      <c r="BY22" s="11">
        <v>57838.518357239656</v>
      </c>
      <c r="BZ22" s="6">
        <v>60735.387960663393</v>
      </c>
      <c r="CA22" s="6">
        <v>64734.851396763283</v>
      </c>
      <c r="CB22" s="6">
        <v>66166.705815632187</v>
      </c>
      <c r="CC22" s="6">
        <v>67464.674492960898</v>
      </c>
      <c r="CD22" s="37">
        <v>66916.056176180253</v>
      </c>
      <c r="CE22" s="6">
        <v>66256.438672746328</v>
      </c>
      <c r="CF22" s="38">
        <f>((485*23543)+(529*26226))/(485+529)</f>
        <v>24942.711045364893</v>
      </c>
      <c r="CG22" s="22">
        <v>30239</v>
      </c>
      <c r="CH22" s="22">
        <v>32148</v>
      </c>
      <c r="CI22" s="22">
        <v>34243</v>
      </c>
      <c r="CJ22" s="22">
        <v>35259</v>
      </c>
      <c r="CK22" s="22">
        <v>35590</v>
      </c>
      <c r="CL22" s="22">
        <v>36096</v>
      </c>
      <c r="CM22" s="22">
        <v>36785</v>
      </c>
      <c r="CN22" s="22">
        <v>37369</v>
      </c>
      <c r="CO22" s="22">
        <v>38447.83810118019</v>
      </c>
      <c r="CP22" s="22">
        <v>39659.830301166498</v>
      </c>
      <c r="CQ22" s="22">
        <v>41002.720403015526</v>
      </c>
      <c r="CR22" s="23">
        <v>42428.867788502517</v>
      </c>
      <c r="CS22" s="23">
        <v>43942.24520057084</v>
      </c>
      <c r="CT22" s="23">
        <v>45246.240428701829</v>
      </c>
      <c r="CU22" s="23">
        <v>45918.086031431521</v>
      </c>
      <c r="CV22" s="23">
        <v>46306.070771113489</v>
      </c>
      <c r="CW22" s="11">
        <v>48913.325690370373</v>
      </c>
      <c r="CX22" s="6">
        <v>51763.138435301451</v>
      </c>
      <c r="CY22" s="6">
        <v>54773.815377524952</v>
      </c>
      <c r="CZ22" s="6">
        <v>55134.66593339399</v>
      </c>
      <c r="DA22" s="6">
        <v>56226.207939629632</v>
      </c>
      <c r="DB22" s="37">
        <v>56855.334875785586</v>
      </c>
      <c r="DC22" s="6">
        <v>56960.608642215855</v>
      </c>
      <c r="DD22" s="40">
        <f>((95*16757)+(305*21149))/(95+305)</f>
        <v>20105.900000000001</v>
      </c>
      <c r="DE22" s="22">
        <v>24366</v>
      </c>
      <c r="DF22" s="22">
        <v>25920</v>
      </c>
      <c r="DG22" s="22">
        <v>27737</v>
      </c>
      <c r="DH22" s="22">
        <v>28115</v>
      </c>
      <c r="DI22" s="22">
        <v>28444</v>
      </c>
      <c r="DJ22" s="22">
        <v>28624</v>
      </c>
      <c r="DK22" s="22">
        <v>28699</v>
      </c>
      <c r="DL22" s="22">
        <v>29128</v>
      </c>
      <c r="DM22" s="22">
        <v>29997.34974736573</v>
      </c>
      <c r="DN22" s="22">
        <v>30870.225452481602</v>
      </c>
      <c r="DO22" s="24">
        <v>30971.24295143603</v>
      </c>
      <c r="DP22" s="24">
        <v>31549.382891296296</v>
      </c>
      <c r="DQ22" s="24">
        <v>33743.899617266186</v>
      </c>
      <c r="DR22" s="6">
        <v>32423.330192367492</v>
      </c>
      <c r="DS22" s="6">
        <v>33246.708154877197</v>
      </c>
      <c r="DT22" s="6">
        <v>33004.493194215691</v>
      </c>
      <c r="DU22" s="11">
        <v>34846.177744407796</v>
      </c>
      <c r="DV22" s="6">
        <v>36509.926879548024</v>
      </c>
      <c r="DW22" s="6">
        <v>37896.451944840424</v>
      </c>
      <c r="DX22" s="6">
        <v>38651.980502583981</v>
      </c>
      <c r="DY22" s="6">
        <v>40385.135529365078</v>
      </c>
      <c r="DZ22" s="9">
        <v>40433.644271076526</v>
      </c>
      <c r="EA22" s="6">
        <v>40927.748899753693</v>
      </c>
    </row>
    <row r="23" spans="1:131">
      <c r="A23" s="21" t="s">
        <v>56</v>
      </c>
      <c r="B23" s="45">
        <v>17467</v>
      </c>
      <c r="C23" s="45">
        <v>19411</v>
      </c>
      <c r="D23" s="45">
        <v>21054</v>
      </c>
      <c r="E23" s="45">
        <v>23517</v>
      </c>
      <c r="F23" s="45">
        <v>25975</v>
      </c>
      <c r="G23" s="45">
        <v>26107</v>
      </c>
      <c r="H23" s="45">
        <v>27952</v>
      </c>
      <c r="I23" s="45">
        <v>29969</v>
      </c>
      <c r="J23" s="45">
        <v>31764</v>
      </c>
      <c r="K23" s="45">
        <v>32924</v>
      </c>
      <c r="L23" s="45">
        <v>34633</v>
      </c>
      <c r="M23" s="22">
        <v>36664</v>
      </c>
      <c r="N23" s="22">
        <v>38688</v>
      </c>
      <c r="O23" s="22">
        <v>40808</v>
      </c>
      <c r="P23" s="22">
        <v>41410</v>
      </c>
      <c r="Q23" s="22">
        <v>42229.991339551103</v>
      </c>
      <c r="R23" s="22">
        <v>42504.2830030408</v>
      </c>
      <c r="S23" s="22">
        <v>45150</v>
      </c>
      <c r="T23" s="22">
        <v>47036</v>
      </c>
      <c r="U23" s="22">
        <v>48619</v>
      </c>
      <c r="V23" s="22">
        <v>49849.7787222794</v>
      </c>
      <c r="W23" s="22">
        <v>51689.823913847838</v>
      </c>
      <c r="X23" s="23">
        <v>54493.315685503505</v>
      </c>
      <c r="Y23" s="23">
        <v>56785.315388645286</v>
      </c>
      <c r="Z23" s="37">
        <v>58505.988926584694</v>
      </c>
      <c r="AA23" s="6">
        <v>59592.213886377198</v>
      </c>
      <c r="AB23" s="6">
        <v>60049.590577108436</v>
      </c>
      <c r="AC23" s="6">
        <v>62674.191636054034</v>
      </c>
      <c r="AD23" s="6">
        <v>64921.487748324529</v>
      </c>
      <c r="AE23" s="6">
        <v>66317.069776500473</v>
      </c>
      <c r="AF23" s="6">
        <v>68742.495175678108</v>
      </c>
      <c r="AG23" s="6">
        <v>69305.461160516934</v>
      </c>
      <c r="AH23" s="6">
        <v>70066.963346718505</v>
      </c>
      <c r="AI23" s="6">
        <v>70294.330321588102</v>
      </c>
      <c r="AJ23" s="38">
        <v>36932</v>
      </c>
      <c r="AK23" s="22">
        <v>47385</v>
      </c>
      <c r="AL23" s="22">
        <v>50074</v>
      </c>
      <c r="AM23" s="22">
        <v>51992</v>
      </c>
      <c r="AN23" s="22">
        <v>52708</v>
      </c>
      <c r="AO23" s="22">
        <v>53980</v>
      </c>
      <c r="AP23" s="22">
        <v>54064</v>
      </c>
      <c r="AQ23" s="22">
        <v>57271</v>
      </c>
      <c r="AR23" s="22">
        <v>59502</v>
      </c>
      <c r="AS23" s="22">
        <v>61781.501311369757</v>
      </c>
      <c r="AT23" s="22">
        <v>63365.193580603198</v>
      </c>
      <c r="AU23" s="22">
        <v>65855.218865039002</v>
      </c>
      <c r="AV23" s="23">
        <v>69315.041204636567</v>
      </c>
      <c r="AW23" s="23">
        <v>72020.522822846266</v>
      </c>
      <c r="AX23" s="37">
        <v>74562.035551492649</v>
      </c>
      <c r="AY23" s="1">
        <v>76392.328799419847</v>
      </c>
      <c r="AZ23" s="1">
        <v>76860.955337082021</v>
      </c>
      <c r="BA23" s="1">
        <v>81243.910456493701</v>
      </c>
      <c r="BB23" s="6">
        <v>85581.145098454333</v>
      </c>
      <c r="BC23" s="6">
        <v>89392.144112525246</v>
      </c>
      <c r="BD23" s="6">
        <v>92915.128336363647</v>
      </c>
      <c r="BE23" s="6">
        <v>94777.386302086961</v>
      </c>
      <c r="BF23" s="37">
        <v>95298.720725971725</v>
      </c>
      <c r="BG23" s="6">
        <v>95819.367490311415</v>
      </c>
      <c r="BH23" s="38">
        <v>27989</v>
      </c>
      <c r="BI23" s="22">
        <v>35729</v>
      </c>
      <c r="BJ23" s="22">
        <v>38248</v>
      </c>
      <c r="BK23" s="22">
        <v>40127</v>
      </c>
      <c r="BL23" s="22">
        <v>40843</v>
      </c>
      <c r="BM23" s="22">
        <v>41549</v>
      </c>
      <c r="BN23" s="22">
        <v>41562</v>
      </c>
      <c r="BO23" s="22">
        <v>44027</v>
      </c>
      <c r="BP23" s="22">
        <v>45633</v>
      </c>
      <c r="BQ23" s="22">
        <v>47296.04794780579</v>
      </c>
      <c r="BR23" s="22">
        <v>48635.546540257099</v>
      </c>
      <c r="BS23" s="22">
        <v>50485.665843506256</v>
      </c>
      <c r="BT23" s="23">
        <v>52991.895868253676</v>
      </c>
      <c r="BU23" s="23">
        <v>55082.994292099909</v>
      </c>
      <c r="BV23" s="37">
        <v>56642.545433270141</v>
      </c>
      <c r="BW23" s="37">
        <v>57573.669107869158</v>
      </c>
      <c r="BX23" s="37">
        <v>58240.568046046516</v>
      </c>
      <c r="BY23" s="11">
        <v>61677.198810939852</v>
      </c>
      <c r="BZ23" s="6">
        <v>64354.75012428443</v>
      </c>
      <c r="CA23" s="6">
        <v>66553.025834509099</v>
      </c>
      <c r="CB23" s="6">
        <v>69278.257861594204</v>
      </c>
      <c r="CC23" s="6">
        <v>70534.699158761068</v>
      </c>
      <c r="CD23" s="37">
        <v>70363.69988496622</v>
      </c>
      <c r="CE23" s="6">
        <v>70864.954276638658</v>
      </c>
      <c r="CF23" s="38">
        <v>22954</v>
      </c>
      <c r="CG23" s="22">
        <v>30387</v>
      </c>
      <c r="CH23" s="22">
        <v>31859</v>
      </c>
      <c r="CI23" s="22">
        <v>33376</v>
      </c>
      <c r="CJ23" s="22">
        <v>33815</v>
      </c>
      <c r="CK23" s="22">
        <v>34854</v>
      </c>
      <c r="CL23" s="22">
        <v>34739</v>
      </c>
      <c r="CM23" s="22">
        <v>36809</v>
      </c>
      <c r="CN23" s="22">
        <v>38062</v>
      </c>
      <c r="CO23" s="22">
        <v>39354.333173427229</v>
      </c>
      <c r="CP23" s="22">
        <v>39917.4363252439</v>
      </c>
      <c r="CQ23" s="22">
        <v>41051.044122211868</v>
      </c>
      <c r="CR23" s="23">
        <v>43932.070462688884</v>
      </c>
      <c r="CS23" s="23">
        <v>45785.859694942286</v>
      </c>
      <c r="CT23" s="23">
        <v>46959.438627685777</v>
      </c>
      <c r="CU23" s="23">
        <v>48327.468884303031</v>
      </c>
      <c r="CV23" s="23">
        <v>49509.061741389152</v>
      </c>
      <c r="CW23" s="11">
        <v>52226.195651703296</v>
      </c>
      <c r="CX23" s="6">
        <v>54880.426082084741</v>
      </c>
      <c r="CY23" s="6">
        <v>57498.906585765762</v>
      </c>
      <c r="CZ23" s="6">
        <v>60206.233682739345</v>
      </c>
      <c r="DA23" s="6">
        <v>61271.912642185343</v>
      </c>
      <c r="DB23" s="37">
        <v>61739.020448600881</v>
      </c>
      <c r="DC23" s="6">
        <v>61690.498728310173</v>
      </c>
      <c r="DD23" s="40">
        <v>17075</v>
      </c>
      <c r="DE23" s="22">
        <v>22006</v>
      </c>
      <c r="DF23" s="22">
        <v>23229</v>
      </c>
      <c r="DG23" s="22">
        <v>24401</v>
      </c>
      <c r="DH23" s="22">
        <v>24312</v>
      </c>
      <c r="DI23" s="22">
        <v>24851</v>
      </c>
      <c r="DJ23" s="22">
        <v>25326</v>
      </c>
      <c r="DK23" s="22">
        <v>26246</v>
      </c>
      <c r="DL23" s="22">
        <v>27779</v>
      </c>
      <c r="DM23" s="22">
        <v>28600.829518225255</v>
      </c>
      <c r="DN23" s="22">
        <v>28054.9289482237</v>
      </c>
      <c r="DO23" s="24">
        <v>30712.221606153846</v>
      </c>
      <c r="DP23" s="24">
        <v>32503.075100817612</v>
      </c>
      <c r="DQ23" s="24">
        <v>34263.973507239265</v>
      </c>
      <c r="DR23" s="6">
        <v>35419.278348589338</v>
      </c>
      <c r="DS23" s="6">
        <v>36114.861193215336</v>
      </c>
      <c r="DT23" s="6">
        <v>37028.525152012575</v>
      </c>
      <c r="DU23" s="11">
        <v>38788.53951446541</v>
      </c>
      <c r="DV23" s="6">
        <v>40363.275146483516</v>
      </c>
      <c r="DW23" s="6">
        <v>41750.283900985218</v>
      </c>
      <c r="DX23" s="6">
        <v>44032.811833333333</v>
      </c>
      <c r="DY23" s="6">
        <v>44227.389364179107</v>
      </c>
      <c r="DZ23" s="9">
        <v>44746.145194859811</v>
      </c>
      <c r="EA23" s="6">
        <v>44725.983891627904</v>
      </c>
    </row>
    <row r="24" spans="1:131">
      <c r="A24" s="21" t="s">
        <v>57</v>
      </c>
      <c r="B24" s="45">
        <v>17972</v>
      </c>
      <c r="C24" s="45">
        <v>19255</v>
      </c>
      <c r="D24" s="45">
        <v>20574</v>
      </c>
      <c r="E24" s="45">
        <v>21918</v>
      </c>
      <c r="F24" s="45">
        <v>22531</v>
      </c>
      <c r="G24" s="45">
        <v>25067</v>
      </c>
      <c r="H24" s="45">
        <v>25346</v>
      </c>
      <c r="I24" s="45">
        <v>29177</v>
      </c>
      <c r="J24" s="45">
        <v>31166</v>
      </c>
      <c r="K24" s="45">
        <v>33955</v>
      </c>
      <c r="L24" s="45">
        <v>35183</v>
      </c>
      <c r="M24" s="22">
        <v>37510</v>
      </c>
      <c r="N24" s="22">
        <v>38935</v>
      </c>
      <c r="O24" s="22">
        <v>41047</v>
      </c>
      <c r="P24" s="22">
        <v>41134</v>
      </c>
      <c r="Q24" s="22">
        <v>42282.653631056899</v>
      </c>
      <c r="R24" s="22">
        <v>44972.382698278903</v>
      </c>
      <c r="S24" s="22">
        <v>48003</v>
      </c>
      <c r="T24" s="22">
        <v>47638</v>
      </c>
      <c r="U24" s="22">
        <v>49226</v>
      </c>
      <c r="V24" s="22">
        <v>49489.6509584675</v>
      </c>
      <c r="W24" s="22">
        <v>49698.462915065997</v>
      </c>
      <c r="X24" s="23">
        <v>51805.812586331631</v>
      </c>
      <c r="Y24" s="23">
        <v>53224.970797460111</v>
      </c>
      <c r="Z24" s="37">
        <v>55762.482249674162</v>
      </c>
      <c r="AA24" s="6">
        <v>56917.321353226645</v>
      </c>
      <c r="AB24" s="6">
        <v>58598.325145503084</v>
      </c>
      <c r="AC24" s="6">
        <v>60110.29662795004</v>
      </c>
      <c r="AD24" s="6">
        <v>61616.566102119963</v>
      </c>
      <c r="AE24" s="6">
        <v>63378.752753267196</v>
      </c>
      <c r="AF24" s="6">
        <v>66163.010479589255</v>
      </c>
      <c r="AG24" s="6">
        <v>66251.873644651496</v>
      </c>
      <c r="AH24" s="6">
        <v>67217.103449595699</v>
      </c>
      <c r="AI24" s="6">
        <v>67160.426279245279</v>
      </c>
      <c r="AJ24" s="38">
        <v>31602</v>
      </c>
      <c r="AK24" s="22">
        <v>46524</v>
      </c>
      <c r="AL24" s="22">
        <v>48520</v>
      </c>
      <c r="AM24" s="22">
        <v>50988</v>
      </c>
      <c r="AN24" s="22">
        <v>50827</v>
      </c>
      <c r="AO24" s="22">
        <v>52214</v>
      </c>
      <c r="AP24" s="22">
        <v>55794</v>
      </c>
      <c r="AQ24" s="22">
        <v>59821</v>
      </c>
      <c r="AR24" s="22">
        <v>59434</v>
      </c>
      <c r="AS24" s="22">
        <v>61076.176096292955</v>
      </c>
      <c r="AT24" s="22">
        <v>61812.994971382701</v>
      </c>
      <c r="AU24" s="22">
        <v>62611.672287355374</v>
      </c>
      <c r="AV24" s="23">
        <v>65561.732363895804</v>
      </c>
      <c r="AW24" s="23">
        <v>68097.257181216555</v>
      </c>
      <c r="AX24" s="37">
        <v>71198.157349436136</v>
      </c>
      <c r="AY24" s="6">
        <v>73099.292631988705</v>
      </c>
      <c r="AZ24" s="6">
        <v>76231.375882086853</v>
      </c>
      <c r="BA24" s="6">
        <v>78298.202516077537</v>
      </c>
      <c r="BB24" s="6">
        <v>80944.451581215224</v>
      </c>
      <c r="BC24" s="6">
        <v>82968.641174573204</v>
      </c>
      <c r="BD24" s="6">
        <v>87705.215481006875</v>
      </c>
      <c r="BE24" s="6">
        <v>87089.583381253542</v>
      </c>
      <c r="BF24" s="37">
        <v>89551.949207799451</v>
      </c>
      <c r="BG24" s="6">
        <v>89490.38025434663</v>
      </c>
      <c r="BH24" s="38">
        <v>25232</v>
      </c>
      <c r="BI24" s="22">
        <v>36524</v>
      </c>
      <c r="BJ24" s="22">
        <v>38057</v>
      </c>
      <c r="BK24" s="22">
        <v>40241</v>
      </c>
      <c r="BL24" s="22">
        <v>39966</v>
      </c>
      <c r="BM24" s="22">
        <v>41964</v>
      </c>
      <c r="BN24" s="22">
        <v>44031</v>
      </c>
      <c r="BO24" s="22">
        <v>46846</v>
      </c>
      <c r="BP24" s="22">
        <v>46327</v>
      </c>
      <c r="BQ24" s="22">
        <v>46876.625666980195</v>
      </c>
      <c r="BR24" s="22">
        <v>47738.560096448899</v>
      </c>
      <c r="BS24" s="22">
        <v>47440.032369712877</v>
      </c>
      <c r="BT24" s="23">
        <v>49700.58186919905</v>
      </c>
      <c r="BU24" s="23">
        <v>51873.792411066235</v>
      </c>
      <c r="BV24" s="37">
        <v>54117.694852437657</v>
      </c>
      <c r="BW24" s="37">
        <v>56161.002869860473</v>
      </c>
      <c r="BX24" s="37">
        <v>57863.041397071691</v>
      </c>
      <c r="BY24" s="11">
        <v>60024.624949413555</v>
      </c>
      <c r="BZ24" s="6">
        <v>62248.36842032909</v>
      </c>
      <c r="CA24" s="6">
        <v>63941.234804970925</v>
      </c>
      <c r="CB24" s="6">
        <v>67114.419600284498</v>
      </c>
      <c r="CC24" s="6">
        <v>67451.126006175429</v>
      </c>
      <c r="CD24" s="37">
        <v>67670.380488033596</v>
      </c>
      <c r="CE24" s="6">
        <v>67446.417528091406</v>
      </c>
      <c r="CF24" s="38">
        <v>20918</v>
      </c>
      <c r="CG24" s="22">
        <v>30360</v>
      </c>
      <c r="CH24" s="22">
        <v>31735</v>
      </c>
      <c r="CI24" s="22">
        <v>33516</v>
      </c>
      <c r="CJ24" s="22">
        <v>33364</v>
      </c>
      <c r="CK24" s="22">
        <v>33556</v>
      </c>
      <c r="CL24" s="22">
        <v>36555</v>
      </c>
      <c r="CM24" s="22">
        <v>38436</v>
      </c>
      <c r="CN24" s="22">
        <v>37946</v>
      </c>
      <c r="CO24" s="22">
        <v>38558.775849914673</v>
      </c>
      <c r="CP24" s="22">
        <v>38398.1592472306</v>
      </c>
      <c r="CQ24" s="22">
        <v>39131.242557646001</v>
      </c>
      <c r="CR24" s="23">
        <v>41448.222847540979</v>
      </c>
      <c r="CS24" s="23">
        <v>42822.978231216672</v>
      </c>
      <c r="CT24" s="53">
        <v>45007.912640659859</v>
      </c>
      <c r="CU24" s="23">
        <v>46356.184638069666</v>
      </c>
      <c r="CV24" s="23">
        <v>48512.354008860762</v>
      </c>
      <c r="CW24" s="11">
        <v>50096.272530824026</v>
      </c>
      <c r="CX24" s="6">
        <v>51700.079083163539</v>
      </c>
      <c r="CY24" s="6">
        <v>52858.022294453891</v>
      </c>
      <c r="CZ24" s="6">
        <v>55743.733394289426</v>
      </c>
      <c r="DA24" s="6">
        <v>55684.692336868684</v>
      </c>
      <c r="DB24" s="37">
        <v>55535.193088815358</v>
      </c>
      <c r="DC24" s="6">
        <v>56349.175674069149</v>
      </c>
      <c r="DD24" s="40">
        <v>16451</v>
      </c>
      <c r="DE24" s="22">
        <v>22711</v>
      </c>
      <c r="DF24" s="22">
        <v>23420</v>
      </c>
      <c r="DG24" s="22">
        <v>23931</v>
      </c>
      <c r="DH24" s="22">
        <v>24375</v>
      </c>
      <c r="DI24" s="22">
        <v>24695</v>
      </c>
      <c r="DJ24" s="22">
        <v>26535</v>
      </c>
      <c r="DK24" s="22">
        <v>28003</v>
      </c>
      <c r="DL24" s="22">
        <v>27725</v>
      </c>
      <c r="DM24" s="22">
        <v>28647.862902213739</v>
      </c>
      <c r="DN24" s="22">
        <v>29580.970086588201</v>
      </c>
      <c r="DO24" s="24">
        <v>29481.593043042252</v>
      </c>
      <c r="DP24" s="24">
        <v>30655.991298025972</v>
      </c>
      <c r="DQ24" s="24">
        <v>31867.492664562211</v>
      </c>
      <c r="DR24" s="6">
        <v>33205.007394666667</v>
      </c>
      <c r="DS24" s="6">
        <v>33727.213935952939</v>
      </c>
      <c r="DT24" s="6">
        <v>34701.531475905882</v>
      </c>
      <c r="DU24" s="11">
        <v>36198.940694669924</v>
      </c>
      <c r="DV24" s="6">
        <v>36524.78662589474</v>
      </c>
      <c r="DW24" s="6">
        <v>38819.166428839504</v>
      </c>
      <c r="DX24" s="6">
        <v>39817.629905853653</v>
      </c>
      <c r="DY24" s="6">
        <v>40446.102472264633</v>
      </c>
      <c r="DZ24" s="9">
        <v>40759.590661951217</v>
      </c>
      <c r="EA24" s="6">
        <v>40498.545316397234</v>
      </c>
    </row>
    <row r="25" spans="1:131">
      <c r="A25" s="21" t="s">
        <v>58</v>
      </c>
      <c r="B25" s="45">
        <v>19039</v>
      </c>
      <c r="C25" s="45">
        <v>19840</v>
      </c>
      <c r="D25" s="45">
        <v>20955</v>
      </c>
      <c r="E25" s="45">
        <v>22416</v>
      </c>
      <c r="F25" s="45">
        <v>26465</v>
      </c>
      <c r="G25" s="45">
        <v>28887</v>
      </c>
      <c r="H25" s="45">
        <v>30278</v>
      </c>
      <c r="I25" s="45">
        <v>31532</v>
      </c>
      <c r="J25" s="45">
        <v>33130</v>
      </c>
      <c r="K25" s="45">
        <v>33810</v>
      </c>
      <c r="L25" s="45">
        <v>36990</v>
      </c>
      <c r="M25" s="22">
        <v>39504</v>
      </c>
      <c r="N25" s="22">
        <v>41756</v>
      </c>
      <c r="O25" s="22">
        <v>42293</v>
      </c>
      <c r="P25" s="22">
        <v>43209</v>
      </c>
      <c r="Q25" s="22">
        <v>44253.634556951598</v>
      </c>
      <c r="R25" s="22">
        <v>45679.854303104999</v>
      </c>
      <c r="S25" s="22">
        <v>46460</v>
      </c>
      <c r="T25" s="22">
        <v>47947</v>
      </c>
      <c r="U25" s="22">
        <v>50415</v>
      </c>
      <c r="V25" s="22">
        <v>51196.934463359401</v>
      </c>
      <c r="W25" s="22">
        <v>53027.33639080709</v>
      </c>
      <c r="X25" s="23">
        <v>55479.099260268762</v>
      </c>
      <c r="Y25" s="23">
        <v>57902.795431109698</v>
      </c>
      <c r="Z25" s="37">
        <v>60042.432821565802</v>
      </c>
      <c r="AA25" s="6">
        <v>62060.421423989494</v>
      </c>
      <c r="AB25" s="6">
        <v>62526.775898439242</v>
      </c>
      <c r="AC25" s="37">
        <v>65192.421255525209</v>
      </c>
      <c r="AD25" s="37">
        <v>67619.426361314458</v>
      </c>
      <c r="AE25" s="37">
        <v>68875.460231464473</v>
      </c>
      <c r="AF25" s="37">
        <v>72147.875825341078</v>
      </c>
      <c r="AG25" s="37">
        <v>74690.587887960777</v>
      </c>
      <c r="AH25" s="37">
        <v>76261.234018070681</v>
      </c>
      <c r="AI25" s="37">
        <v>75977.00008845485</v>
      </c>
      <c r="AJ25" s="38">
        <v>39121</v>
      </c>
      <c r="AK25" s="23">
        <v>50536</v>
      </c>
      <c r="AL25" s="22">
        <v>53280</v>
      </c>
      <c r="AM25" s="22">
        <v>55272</v>
      </c>
      <c r="AN25" s="22">
        <v>56417</v>
      </c>
      <c r="AO25" s="22">
        <v>57939</v>
      </c>
      <c r="AP25" s="22">
        <v>60076</v>
      </c>
      <c r="AQ25" s="22">
        <v>61071</v>
      </c>
      <c r="AR25" s="22">
        <v>63147</v>
      </c>
      <c r="AS25" s="22">
        <v>66398.526669990024</v>
      </c>
      <c r="AT25" s="22">
        <v>68067.129201222197</v>
      </c>
      <c r="AU25" s="22">
        <v>70734.715988212396</v>
      </c>
      <c r="AV25" s="23">
        <v>74798.634141855393</v>
      </c>
      <c r="AW25" s="23">
        <v>78501.085888077854</v>
      </c>
      <c r="AX25" s="37">
        <v>81796.827792148877</v>
      </c>
      <c r="AY25" s="6">
        <v>85219.659209838443</v>
      </c>
      <c r="AZ25" s="6">
        <v>86112.588052393708</v>
      </c>
      <c r="BA25" s="6">
        <v>90393.389638716006</v>
      </c>
      <c r="BB25" s="37">
        <v>93774.542387378562</v>
      </c>
      <c r="BC25" s="37">
        <v>97154.879294025013</v>
      </c>
      <c r="BD25" s="37">
        <v>101942.95674896635</v>
      </c>
      <c r="BE25" s="37">
        <v>106928.577816253</v>
      </c>
      <c r="BF25" s="37">
        <v>109112.85358532802</v>
      </c>
      <c r="BG25" s="37">
        <v>109758.07101240676</v>
      </c>
      <c r="BH25" s="38">
        <v>30063</v>
      </c>
      <c r="BI25" s="22">
        <v>37382</v>
      </c>
      <c r="BJ25" s="22">
        <v>39318</v>
      </c>
      <c r="BK25" s="22">
        <v>40671</v>
      </c>
      <c r="BL25" s="22">
        <v>41494</v>
      </c>
      <c r="BM25" s="22">
        <v>42140</v>
      </c>
      <c r="BN25" s="22">
        <v>43638</v>
      </c>
      <c r="BO25" s="22">
        <v>44353</v>
      </c>
      <c r="BP25" s="22">
        <v>45609</v>
      </c>
      <c r="BQ25" s="22">
        <v>47371.481084700368</v>
      </c>
      <c r="BR25" s="22">
        <v>49485.0850656455</v>
      </c>
      <c r="BS25" s="22">
        <v>50709.063803501114</v>
      </c>
      <c r="BT25" s="23">
        <v>53391.518691843354</v>
      </c>
      <c r="BU25" s="23">
        <v>55635.903809523807</v>
      </c>
      <c r="BV25" s="37">
        <v>58430.237731531633</v>
      </c>
      <c r="BW25" s="37">
        <v>60659.034836273393</v>
      </c>
      <c r="BX25" s="37">
        <v>61270.254559264271</v>
      </c>
      <c r="BY25" s="11">
        <v>64232.220944100533</v>
      </c>
      <c r="BZ25" s="37">
        <v>65969.755392847306</v>
      </c>
      <c r="CA25" s="37">
        <v>68384.711043159972</v>
      </c>
      <c r="CB25" s="37">
        <v>71720.299818958025</v>
      </c>
      <c r="CC25" s="37">
        <v>74144.374160265812</v>
      </c>
      <c r="CD25" s="37">
        <v>76143.892203863434</v>
      </c>
      <c r="CE25" s="37">
        <v>76221.662012852117</v>
      </c>
      <c r="CF25" s="38">
        <v>24732</v>
      </c>
      <c r="CG25" s="22">
        <v>31598</v>
      </c>
      <c r="CH25" s="22">
        <v>33224</v>
      </c>
      <c r="CI25" s="22">
        <v>34491</v>
      </c>
      <c r="CJ25" s="22">
        <v>35691</v>
      </c>
      <c r="CK25" s="22">
        <v>36132</v>
      </c>
      <c r="CL25" s="22">
        <v>37420</v>
      </c>
      <c r="CM25" s="22">
        <v>37812</v>
      </c>
      <c r="CN25" s="22">
        <v>38891</v>
      </c>
      <c r="CO25" s="22">
        <v>40410.345179451091</v>
      </c>
      <c r="CP25" s="22">
        <v>41674.305272618301</v>
      </c>
      <c r="CQ25" s="22">
        <v>43220.630407151257</v>
      </c>
      <c r="CR25" s="23">
        <v>45397.081646913946</v>
      </c>
      <c r="CS25" s="23">
        <v>48048.842362924282</v>
      </c>
      <c r="CT25" s="23">
        <v>49848.480279008174</v>
      </c>
      <c r="CU25" s="23">
        <v>52281.599350687888</v>
      </c>
      <c r="CV25" s="23">
        <v>53359.390477928486</v>
      </c>
      <c r="CW25" s="11">
        <v>55820.684222596312</v>
      </c>
      <c r="CX25" s="37">
        <v>58923.022988170233</v>
      </c>
      <c r="CY25" s="37">
        <v>59826.234679320478</v>
      </c>
      <c r="CZ25" s="37">
        <v>62857.224292475461</v>
      </c>
      <c r="DA25" s="37">
        <v>65005.343874248472</v>
      </c>
      <c r="DB25" s="37">
        <v>66361.602965525715</v>
      </c>
      <c r="DC25" s="37">
        <v>65776.767740275769</v>
      </c>
      <c r="DD25" s="40">
        <v>18567</v>
      </c>
      <c r="DE25" s="22">
        <v>23279</v>
      </c>
      <c r="DF25" s="22">
        <v>24517</v>
      </c>
      <c r="DG25" s="22">
        <v>25520</v>
      </c>
      <c r="DH25" s="22">
        <v>26633</v>
      </c>
      <c r="DI25" s="22">
        <v>26508</v>
      </c>
      <c r="DJ25" s="22">
        <v>28177</v>
      </c>
      <c r="DK25" s="22">
        <v>28698</v>
      </c>
      <c r="DL25" s="22">
        <v>29146</v>
      </c>
      <c r="DM25" s="22">
        <v>31049.109589041094</v>
      </c>
      <c r="DN25" s="22">
        <v>32222.941087613301</v>
      </c>
      <c r="DO25" s="24">
        <v>33344.553272687073</v>
      </c>
      <c r="DP25" s="24">
        <v>33817.264468693094</v>
      </c>
      <c r="DQ25" s="24">
        <v>35354.334862385324</v>
      </c>
      <c r="DR25" s="37">
        <v>37725.60196771982</v>
      </c>
      <c r="DS25" s="37">
        <v>38445.626508257461</v>
      </c>
      <c r="DT25" s="37">
        <v>37739.934548909368</v>
      </c>
      <c r="DU25" s="11">
        <v>38880.185252424242</v>
      </c>
      <c r="DV25" s="37">
        <v>39094.829340026074</v>
      </c>
      <c r="DW25" s="37">
        <v>39856.653927884319</v>
      </c>
      <c r="DX25" s="37">
        <v>42234.760741723665</v>
      </c>
      <c r="DY25" s="37">
        <v>44409.002872536141</v>
      </c>
      <c r="DZ25" s="9">
        <v>44733.000139750002</v>
      </c>
      <c r="EA25" s="37">
        <v>45334.801016849015</v>
      </c>
    </row>
    <row r="26" spans="1:131">
      <c r="A26" s="21" t="s">
        <v>59</v>
      </c>
      <c r="B26" s="45">
        <v>18659</v>
      </c>
      <c r="C26" s="45">
        <v>20023</v>
      </c>
      <c r="D26" s="45">
        <v>21567</v>
      </c>
      <c r="E26" s="45">
        <v>23504</v>
      </c>
      <c r="F26" s="45">
        <v>25836</v>
      </c>
      <c r="G26" s="45">
        <v>27735</v>
      </c>
      <c r="H26" s="45">
        <v>28087</v>
      </c>
      <c r="I26" s="45">
        <v>30920</v>
      </c>
      <c r="J26" s="45">
        <v>34143</v>
      </c>
      <c r="K26" s="45">
        <v>37875</v>
      </c>
      <c r="L26" s="45">
        <v>40601</v>
      </c>
      <c r="M26" s="22">
        <v>43678</v>
      </c>
      <c r="N26" s="22">
        <v>46941</v>
      </c>
      <c r="O26" s="22">
        <v>48026</v>
      </c>
      <c r="P26" s="22">
        <v>48300</v>
      </c>
      <c r="Q26" s="22">
        <v>48394.478976327599</v>
      </c>
      <c r="R26" s="22">
        <v>49133.7087816321</v>
      </c>
      <c r="S26" s="22">
        <v>50802</v>
      </c>
      <c r="T26" s="22">
        <v>52658</v>
      </c>
      <c r="U26" s="22">
        <v>53897</v>
      </c>
      <c r="V26" s="22">
        <v>56255.426230814002</v>
      </c>
      <c r="W26" s="22">
        <v>58800.008194343049</v>
      </c>
      <c r="X26" s="23">
        <v>61861.536355582284</v>
      </c>
      <c r="Y26" s="23">
        <v>66474.640172507658</v>
      </c>
      <c r="Z26" s="37">
        <v>66768.676413162684</v>
      </c>
      <c r="AA26" s="6">
        <v>66924.301964688566</v>
      </c>
      <c r="AB26" s="6">
        <v>68074.646641537009</v>
      </c>
      <c r="AC26" s="37">
        <v>70629.419892354184</v>
      </c>
      <c r="AD26" s="37">
        <v>73947.409714351394</v>
      </c>
      <c r="AE26" s="37">
        <v>76995.889688203373</v>
      </c>
      <c r="AF26" s="37">
        <v>79725.856199720321</v>
      </c>
      <c r="AG26" s="37">
        <v>80440.482495997261</v>
      </c>
      <c r="AH26" s="37">
        <v>80650.084406453097</v>
      </c>
      <c r="AI26" s="37">
        <v>80471.193759384754</v>
      </c>
      <c r="AJ26" s="38">
        <v>36944</v>
      </c>
      <c r="AK26" s="23">
        <v>56161</v>
      </c>
      <c r="AL26" s="22">
        <v>60197</v>
      </c>
      <c r="AM26" s="22">
        <v>61516</v>
      </c>
      <c r="AN26" s="22">
        <v>61510</v>
      </c>
      <c r="AO26" s="22">
        <v>61726</v>
      </c>
      <c r="AP26" s="22">
        <v>63046</v>
      </c>
      <c r="AQ26" s="22">
        <v>64944</v>
      </c>
      <c r="AR26" s="22">
        <v>67322</v>
      </c>
      <c r="AS26" s="22">
        <v>69071.785395797851</v>
      </c>
      <c r="AT26" s="22">
        <v>72135.780452229199</v>
      </c>
      <c r="AU26" s="22">
        <v>76749.967868302338</v>
      </c>
      <c r="AV26" s="23">
        <v>80759.619931651891</v>
      </c>
      <c r="AW26" s="23">
        <v>88262.180670884845</v>
      </c>
      <c r="AX26" s="37">
        <v>89665.106894168028</v>
      </c>
      <c r="AY26" s="6">
        <v>89270.263574978264</v>
      </c>
      <c r="AZ26" s="6">
        <v>91380.965123341404</v>
      </c>
      <c r="BA26" s="6">
        <v>95287.045430311991</v>
      </c>
      <c r="BB26" s="37">
        <v>100715.47411441975</v>
      </c>
      <c r="BC26" s="37">
        <v>105163.73259228739</v>
      </c>
      <c r="BD26" s="37">
        <v>110392.64207838463</v>
      </c>
      <c r="BE26" s="37">
        <v>110612.3139954962</v>
      </c>
      <c r="BF26" s="37">
        <v>110961.64908872974</v>
      </c>
      <c r="BG26" s="37">
        <v>111377.68054619484</v>
      </c>
      <c r="BH26" s="38">
        <v>27760</v>
      </c>
      <c r="BI26" s="22">
        <v>42077</v>
      </c>
      <c r="BJ26" s="22">
        <v>45088</v>
      </c>
      <c r="BK26" s="22">
        <v>46067</v>
      </c>
      <c r="BL26" s="22">
        <v>45798</v>
      </c>
      <c r="BM26" s="22">
        <v>46262</v>
      </c>
      <c r="BN26" s="22">
        <v>46812</v>
      </c>
      <c r="BO26" s="22">
        <v>48091</v>
      </c>
      <c r="BP26" s="22">
        <v>49660</v>
      </c>
      <c r="BQ26" s="22">
        <v>50995.042056404098</v>
      </c>
      <c r="BR26" s="22">
        <v>53473.151871575697</v>
      </c>
      <c r="BS26" s="22">
        <v>56199.021488316561</v>
      </c>
      <c r="BT26" s="23">
        <v>59536.422065205355</v>
      </c>
      <c r="BU26" s="23">
        <v>63669.880042897646</v>
      </c>
      <c r="BV26" s="37">
        <v>64198.670355736816</v>
      </c>
      <c r="BW26" s="37">
        <v>64168.080539652859</v>
      </c>
      <c r="BX26" s="37">
        <v>65552.12183305189</v>
      </c>
      <c r="BY26" s="11">
        <v>67924.813625045819</v>
      </c>
      <c r="BZ26" s="37">
        <v>72184.042761549223</v>
      </c>
      <c r="CA26" s="37">
        <v>74901.206633202892</v>
      </c>
      <c r="CB26" s="37">
        <v>78367.909899259263</v>
      </c>
      <c r="CC26" s="37">
        <v>79313.48499424402</v>
      </c>
      <c r="CD26" s="37">
        <v>78087.085054355688</v>
      </c>
      <c r="CE26" s="37">
        <v>77705.375201826842</v>
      </c>
      <c r="CF26" s="38">
        <v>23000</v>
      </c>
      <c r="CG26" s="22">
        <v>34668</v>
      </c>
      <c r="CH26" s="22">
        <v>37059</v>
      </c>
      <c r="CI26" s="22">
        <v>37503</v>
      </c>
      <c r="CJ26" s="22">
        <v>37382</v>
      </c>
      <c r="CK26" s="22">
        <v>37808</v>
      </c>
      <c r="CL26" s="22">
        <v>38507</v>
      </c>
      <c r="CM26" s="22">
        <v>39622</v>
      </c>
      <c r="CN26" s="22">
        <v>40744</v>
      </c>
      <c r="CO26" s="22">
        <v>41741.179294798763</v>
      </c>
      <c r="CP26" s="22">
        <v>43287.620084541697</v>
      </c>
      <c r="CQ26" s="22">
        <v>45049.973501279339</v>
      </c>
      <c r="CR26" s="23">
        <v>47474.747704246256</v>
      </c>
      <c r="CS26" s="23">
        <v>50139.03502215819</v>
      </c>
      <c r="CT26" s="23">
        <v>50966.199884194801</v>
      </c>
      <c r="CU26" s="23">
        <v>51419.845612890582</v>
      </c>
      <c r="CV26" s="23">
        <v>52604.198351173916</v>
      </c>
      <c r="CW26" s="11">
        <v>55102.844502028544</v>
      </c>
      <c r="CX26" s="37">
        <v>58055.184380946637</v>
      </c>
      <c r="CY26" s="37">
        <v>60654.900096278267</v>
      </c>
      <c r="CZ26" s="37">
        <v>63059.242642429213</v>
      </c>
      <c r="DA26" s="37">
        <v>64419.107131604149</v>
      </c>
      <c r="DB26" s="37">
        <v>64591.00046001649</v>
      </c>
      <c r="DC26" s="37">
        <v>64669.136509969787</v>
      </c>
      <c r="DD26" s="40">
        <v>18211</v>
      </c>
      <c r="DE26" s="22">
        <v>26137</v>
      </c>
      <c r="DF26" s="22">
        <v>27807</v>
      </c>
      <c r="DG26" s="22">
        <v>28646</v>
      </c>
      <c r="DH26" s="22">
        <v>28439</v>
      </c>
      <c r="DI26" s="22">
        <v>29283</v>
      </c>
      <c r="DJ26" s="22">
        <v>28765</v>
      </c>
      <c r="DK26" s="22">
        <v>29709</v>
      </c>
      <c r="DL26" s="22">
        <v>30445</v>
      </c>
      <c r="DM26" s="22">
        <v>31672.886312844035</v>
      </c>
      <c r="DN26" s="22">
        <v>32886.106293812998</v>
      </c>
      <c r="DO26" s="24">
        <v>34726.305704690261</v>
      </c>
      <c r="DP26" s="24">
        <v>35923.326378701822</v>
      </c>
      <c r="DQ26" s="24">
        <v>37830.433471476092</v>
      </c>
      <c r="DR26" s="37">
        <v>37980.955291038066</v>
      </c>
      <c r="DS26" s="37">
        <v>38180.628799375001</v>
      </c>
      <c r="DT26" s="37">
        <v>38376.020630713101</v>
      </c>
      <c r="DU26" s="11">
        <v>40314.769558726708</v>
      </c>
      <c r="DV26" s="37">
        <v>42433.981192492756</v>
      </c>
      <c r="DW26" s="37">
        <v>44592.671626980613</v>
      </c>
      <c r="DX26" s="37">
        <v>47137.637357772626</v>
      </c>
      <c r="DY26" s="37">
        <v>48471.08699297424</v>
      </c>
      <c r="DZ26" s="9">
        <v>48355.272898424242</v>
      </c>
      <c r="EA26" s="37">
        <v>48173.439396909496</v>
      </c>
    </row>
    <row r="27" spans="1:131" s="57" customFormat="1">
      <c r="A27" s="54" t="s">
        <v>60</v>
      </c>
      <c r="B27" s="55">
        <v>16635</v>
      </c>
      <c r="C27" s="55">
        <v>18276</v>
      </c>
      <c r="D27" s="55">
        <v>19328</v>
      </c>
      <c r="E27" s="55">
        <v>21005</v>
      </c>
      <c r="F27" s="55">
        <v>23266</v>
      </c>
      <c r="G27" s="55">
        <v>23304</v>
      </c>
      <c r="H27" s="55">
        <v>23372</v>
      </c>
      <c r="I27" s="55">
        <v>26084</v>
      </c>
      <c r="J27" s="55">
        <v>28467</v>
      </c>
      <c r="K27" s="55">
        <v>29011</v>
      </c>
      <c r="L27" s="55">
        <v>30287</v>
      </c>
      <c r="M27" s="56">
        <v>31119</v>
      </c>
      <c r="N27" s="56">
        <v>32389</v>
      </c>
      <c r="O27" s="56">
        <v>35999</v>
      </c>
      <c r="P27" s="56">
        <v>36285</v>
      </c>
      <c r="Q27" s="56">
        <v>36484.689168638099</v>
      </c>
      <c r="R27" s="56">
        <v>38849.402720608399</v>
      </c>
      <c r="S27" s="56">
        <v>40035</v>
      </c>
      <c r="T27" s="56">
        <v>42496</v>
      </c>
      <c r="U27" s="56">
        <v>43827</v>
      </c>
      <c r="V27" s="56">
        <v>44943.047834502497</v>
      </c>
      <c r="W27" s="56">
        <v>46866.800496213073</v>
      </c>
      <c r="X27" s="56">
        <v>48514.189339556346</v>
      </c>
      <c r="Y27" s="56">
        <v>51181.934074728539</v>
      </c>
      <c r="Z27" s="57">
        <v>52472.059985036431</v>
      </c>
      <c r="AA27" s="2">
        <v>53207.508406483073</v>
      </c>
      <c r="AB27" s="2">
        <v>53780.533653992352</v>
      </c>
      <c r="AC27" s="57">
        <v>54702.425122139713</v>
      </c>
      <c r="AD27" s="57">
        <v>56070.68866088504</v>
      </c>
      <c r="AE27" s="57">
        <v>58850.327402446106</v>
      </c>
      <c r="AF27" s="57">
        <v>62001.770349976403</v>
      </c>
      <c r="AG27" s="57">
        <v>64961.76252350524</v>
      </c>
      <c r="AH27" s="57">
        <v>64924.3900046532</v>
      </c>
      <c r="AI27" s="57">
        <v>65285.464099351499</v>
      </c>
      <c r="AJ27" s="58">
        <v>29773</v>
      </c>
      <c r="AK27" s="56">
        <v>39101</v>
      </c>
      <c r="AL27" s="56">
        <v>40412</v>
      </c>
      <c r="AM27" s="56">
        <v>45051</v>
      </c>
      <c r="AN27" s="56">
        <v>45701</v>
      </c>
      <c r="AO27" s="56">
        <v>45738</v>
      </c>
      <c r="AP27" s="56">
        <v>48230</v>
      </c>
      <c r="AQ27" s="56">
        <v>49380</v>
      </c>
      <c r="AR27" s="56">
        <v>51888</v>
      </c>
      <c r="AS27" s="56">
        <v>53403.730408179552</v>
      </c>
      <c r="AT27" s="56">
        <v>55037.696450051</v>
      </c>
      <c r="AU27" s="56">
        <v>57489.272705657073</v>
      </c>
      <c r="AV27" s="56">
        <v>60082.159176143039</v>
      </c>
      <c r="AW27" s="56">
        <v>63412.356770697676</v>
      </c>
      <c r="AX27" s="57">
        <v>65253.826635927369</v>
      </c>
      <c r="AY27" s="12">
        <v>66772.84190810952</v>
      </c>
      <c r="AZ27" s="2">
        <v>66985.45084040596</v>
      </c>
      <c r="BA27" s="2">
        <v>68075.287372837076</v>
      </c>
      <c r="BB27" s="57">
        <v>69345.496774694446</v>
      </c>
      <c r="BC27" s="57">
        <v>73986.007809202798</v>
      </c>
      <c r="BD27" s="57">
        <v>78438.381709677429</v>
      </c>
      <c r="BE27" s="57">
        <v>84104.160528818451</v>
      </c>
      <c r="BF27" s="57">
        <v>84810.070395942035</v>
      </c>
      <c r="BG27" s="57">
        <v>85025.979041260754</v>
      </c>
      <c r="BH27" s="58">
        <v>23728</v>
      </c>
      <c r="BI27" s="56">
        <v>31368</v>
      </c>
      <c r="BJ27" s="56">
        <v>32751</v>
      </c>
      <c r="BK27" s="56">
        <v>36536</v>
      </c>
      <c r="BL27" s="56">
        <v>36578</v>
      </c>
      <c r="BM27" s="56">
        <v>36581</v>
      </c>
      <c r="BN27" s="56">
        <v>38395</v>
      </c>
      <c r="BO27" s="56">
        <v>39475</v>
      </c>
      <c r="BP27" s="56">
        <v>41477</v>
      </c>
      <c r="BQ27" s="56">
        <v>42491.294320556372</v>
      </c>
      <c r="BR27" s="56">
        <v>43931.162324581499</v>
      </c>
      <c r="BS27" s="56">
        <v>45896.194414141421</v>
      </c>
      <c r="BT27" s="56">
        <v>48110.319049835576</v>
      </c>
      <c r="BU27" s="56">
        <v>50608.774370647247</v>
      </c>
      <c r="BV27" s="57">
        <v>51609.797271541989</v>
      </c>
      <c r="BW27" s="57">
        <v>52659.159785215998</v>
      </c>
      <c r="BX27" s="57">
        <v>53407.195601421321</v>
      </c>
      <c r="BY27" s="14">
        <v>54440.522413854545</v>
      </c>
      <c r="BZ27" s="57">
        <v>55821.361170182478</v>
      </c>
      <c r="CA27" s="57">
        <v>58242.696357142857</v>
      </c>
      <c r="CB27" s="57">
        <v>60599.032145062833</v>
      </c>
      <c r="CC27" s="57">
        <v>64624.196610638304</v>
      </c>
      <c r="CD27" s="57">
        <v>65054.922291062394</v>
      </c>
      <c r="CE27" s="57">
        <v>65758.364294897954</v>
      </c>
      <c r="CF27" s="58">
        <v>19859</v>
      </c>
      <c r="CG27" s="56">
        <v>25281</v>
      </c>
      <c r="CH27" s="56">
        <v>26653</v>
      </c>
      <c r="CI27" s="56">
        <v>29445</v>
      </c>
      <c r="CJ27" s="56">
        <v>30140</v>
      </c>
      <c r="CK27" s="56">
        <v>30280</v>
      </c>
      <c r="CL27" s="56">
        <v>32393</v>
      </c>
      <c r="CM27" s="56">
        <v>33445</v>
      </c>
      <c r="CN27" s="56">
        <v>35012</v>
      </c>
      <c r="CO27" s="56">
        <v>36208.80840916399</v>
      </c>
      <c r="CP27" s="56">
        <v>36599.243211271503</v>
      </c>
      <c r="CQ27" s="56">
        <v>38098.083609810674</v>
      </c>
      <c r="CR27" s="56">
        <v>39118.670101430791</v>
      </c>
      <c r="CS27" s="56">
        <v>40954.243097487437</v>
      </c>
      <c r="CT27" s="59">
        <v>42113.607928723053</v>
      </c>
      <c r="CU27" s="56">
        <v>43004.965205838511</v>
      </c>
      <c r="CV27" s="56">
        <v>43599.022040640804</v>
      </c>
      <c r="CW27" s="14">
        <v>45072.822681987178</v>
      </c>
      <c r="CX27" s="57">
        <v>46797.967687741933</v>
      </c>
      <c r="CY27" s="57">
        <v>48948.904004827593</v>
      </c>
      <c r="CZ27" s="57">
        <v>51636.288860561304</v>
      </c>
      <c r="DA27" s="57">
        <v>53953.866825484758</v>
      </c>
      <c r="DB27" s="57">
        <v>53926.174088144326</v>
      </c>
      <c r="DC27" s="57">
        <v>54871.529626429481</v>
      </c>
      <c r="DD27" s="58">
        <v>16144</v>
      </c>
      <c r="DE27" s="56">
        <v>19451</v>
      </c>
      <c r="DF27" s="56">
        <v>20383</v>
      </c>
      <c r="DG27" s="56">
        <v>22564</v>
      </c>
      <c r="DH27" s="56">
        <v>23144</v>
      </c>
      <c r="DI27" s="56">
        <v>23466</v>
      </c>
      <c r="DJ27" s="56">
        <v>26185</v>
      </c>
      <c r="DK27" s="56">
        <v>26653</v>
      </c>
      <c r="DL27" s="56">
        <v>28883</v>
      </c>
      <c r="DM27" s="56">
        <v>29600.068280555555</v>
      </c>
      <c r="DN27" s="56">
        <v>29359.648590468802</v>
      </c>
      <c r="DO27" s="57">
        <v>30014.494092888894</v>
      </c>
      <c r="DP27" s="57">
        <v>31304.650729275363</v>
      </c>
      <c r="DQ27" s="57">
        <v>33518.586671470592</v>
      </c>
      <c r="DR27" s="57">
        <v>34219.985733557049</v>
      </c>
      <c r="DS27" s="57">
        <v>33699.009672533335</v>
      </c>
      <c r="DT27" s="57">
        <v>33242.368649064752</v>
      </c>
      <c r="DU27" s="14">
        <v>33237.651086615384</v>
      </c>
      <c r="DV27" s="57">
        <v>34386.580635572522</v>
      </c>
      <c r="DW27" s="57">
        <v>34942.191072268906</v>
      </c>
      <c r="DX27" s="57">
        <v>37014.46654358974</v>
      </c>
      <c r="DY27" s="57">
        <v>39016.382172151898</v>
      </c>
      <c r="DZ27" s="78">
        <v>39571.521993063587</v>
      </c>
      <c r="EA27" s="57">
        <v>39138.409138947369</v>
      </c>
    </row>
    <row r="28" spans="1:13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61"/>
      <c r="AE28" s="61"/>
      <c r="AF28" s="61"/>
      <c r="AG28" s="61"/>
      <c r="AH28" s="61"/>
      <c r="AI28" s="61"/>
      <c r="AJ28" s="70"/>
      <c r="AK28" s="62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70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70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70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</row>
    <row r="29" spans="1:131">
      <c r="A29" s="64" t="s">
        <v>109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79">
        <v>58163.521934758159</v>
      </c>
      <c r="AD29" s="64"/>
      <c r="AE29" s="64"/>
      <c r="AF29" s="64"/>
      <c r="AG29" s="64"/>
      <c r="AH29" s="66">
        <v>71557.187071498527</v>
      </c>
      <c r="AI29" s="66">
        <v>73331.529636711275</v>
      </c>
      <c r="AJ29" s="71"/>
      <c r="AK29" s="7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6">
        <v>76302.903553299489</v>
      </c>
      <c r="BB29" s="64"/>
      <c r="BC29" s="64"/>
      <c r="BD29" s="64"/>
      <c r="BE29" s="64"/>
      <c r="BF29" s="66">
        <v>96994.676767676763</v>
      </c>
      <c r="BG29" s="66">
        <v>98092.526829268289</v>
      </c>
      <c r="BH29" s="71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6">
        <v>59217.244343891405</v>
      </c>
      <c r="BZ29" s="64"/>
      <c r="CA29" s="64"/>
      <c r="CB29" s="64"/>
      <c r="CC29" s="64"/>
      <c r="CD29" s="66">
        <v>74364.204861111109</v>
      </c>
      <c r="CE29" s="66">
        <v>75972.300341296926</v>
      </c>
      <c r="CF29" s="71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6">
        <v>51433.032828282827</v>
      </c>
      <c r="CX29" s="64"/>
      <c r="CY29" s="64"/>
      <c r="CZ29" s="64"/>
      <c r="DA29" s="64"/>
      <c r="DB29" s="66">
        <v>62459.37777777778</v>
      </c>
      <c r="DC29" s="66">
        <v>64424.296460176993</v>
      </c>
      <c r="DD29" s="71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6">
        <v>43157.76470588235</v>
      </c>
      <c r="DV29" s="64"/>
      <c r="DW29" s="64"/>
      <c r="DX29" s="64"/>
      <c r="DY29" s="64"/>
      <c r="DZ29" s="61">
        <v>51991.792207792205</v>
      </c>
      <c r="EA29" s="66">
        <v>53543.285714285717</v>
      </c>
    </row>
    <row r="30" spans="1:131">
      <c r="A30" s="61" t="s">
        <v>110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79">
        <v>73015.370783730163</v>
      </c>
      <c r="AD30" s="61"/>
      <c r="AE30" s="61"/>
      <c r="AF30" s="61"/>
      <c r="AG30" s="61"/>
      <c r="AH30" s="66">
        <v>82929.051683965256</v>
      </c>
      <c r="AI30" s="66">
        <v>83614.186661073822</v>
      </c>
      <c r="AJ30" s="70"/>
      <c r="AK30" s="62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6">
        <v>95300.367256637168</v>
      </c>
      <c r="BB30" s="61"/>
      <c r="BC30" s="61"/>
      <c r="BD30" s="61"/>
      <c r="BE30" s="61"/>
      <c r="BF30" s="66">
        <v>113487.25733093955</v>
      </c>
      <c r="BG30" s="66">
        <v>115104.7838494232</v>
      </c>
      <c r="BH30" s="70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6">
        <v>66059.351131221716</v>
      </c>
      <c r="BZ30" s="61"/>
      <c r="CA30" s="61"/>
      <c r="CB30" s="61"/>
      <c r="CC30" s="61"/>
      <c r="CD30" s="61">
        <v>78422.224166666667</v>
      </c>
      <c r="CE30" s="66">
        <v>80602.83043837882</v>
      </c>
      <c r="CF30" s="70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6">
        <v>57631.226618705034</v>
      </c>
      <c r="CX30" s="61"/>
      <c r="CY30" s="61"/>
      <c r="CZ30" s="61"/>
      <c r="DA30" s="61"/>
      <c r="DB30" s="66">
        <v>67185.900386847192</v>
      </c>
      <c r="DC30" s="66">
        <v>68393.025150905436</v>
      </c>
      <c r="DD30" s="70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6">
        <v>36381.1231884058</v>
      </c>
      <c r="DV30" s="61"/>
      <c r="DW30" s="61"/>
      <c r="DX30" s="61"/>
      <c r="DY30" s="61"/>
      <c r="DZ30" s="61">
        <v>35370.235023041474</v>
      </c>
      <c r="EA30" s="66">
        <v>37344.649305555555</v>
      </c>
    </row>
    <row r="31" spans="1:131">
      <c r="A31" s="61" t="s">
        <v>111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79">
        <v>78761.043733846862</v>
      </c>
      <c r="AD31" s="61"/>
      <c r="AE31" s="61"/>
      <c r="AF31" s="61"/>
      <c r="AG31" s="61"/>
      <c r="AH31" s="66">
        <v>92721.270168855539</v>
      </c>
      <c r="AI31" s="66">
        <v>92820.535229569738</v>
      </c>
      <c r="AJ31" s="70"/>
      <c r="AK31" s="62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6">
        <v>97592.078919714171</v>
      </c>
      <c r="BB31" s="61"/>
      <c r="BC31" s="61"/>
      <c r="BD31" s="61"/>
      <c r="BE31" s="61"/>
      <c r="BF31" s="66">
        <v>116481.60302585525</v>
      </c>
      <c r="BG31" s="66">
        <v>116141.84052770448</v>
      </c>
      <c r="BH31" s="70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6">
        <v>69302.08780903666</v>
      </c>
      <c r="BZ31" s="61"/>
      <c r="CA31" s="61"/>
      <c r="CB31" s="61"/>
      <c r="CC31" s="61"/>
      <c r="CD31" s="61">
        <v>80664.896867469884</v>
      </c>
      <c r="CE31" s="66">
        <v>80915.251848532382</v>
      </c>
      <c r="CF31" s="70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6">
        <v>58828.653000458085</v>
      </c>
      <c r="CX31" s="61"/>
      <c r="CY31" s="61"/>
      <c r="CZ31" s="61"/>
      <c r="DA31" s="61"/>
      <c r="DB31" s="66">
        <v>71626.117855455828</v>
      </c>
      <c r="DC31" s="66">
        <v>71826.56236052567</v>
      </c>
      <c r="DD31" s="70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6">
        <v>40524</v>
      </c>
      <c r="DV31" s="61"/>
      <c r="DW31" s="61"/>
      <c r="DX31" s="61"/>
      <c r="DY31" s="61"/>
      <c r="DZ31" s="61">
        <v>45618</v>
      </c>
      <c r="EA31" s="66">
        <v>55621.714285714283</v>
      </c>
    </row>
    <row r="32" spans="1:131">
      <c r="A32" s="61" t="s">
        <v>112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79">
        <v>63227.979664804472</v>
      </c>
      <c r="AD32" s="61"/>
      <c r="AE32" s="61"/>
      <c r="AF32" s="61"/>
      <c r="AG32" s="61"/>
      <c r="AH32" s="66">
        <v>73013.877936857563</v>
      </c>
      <c r="AI32" s="66">
        <v>73149.588449626521</v>
      </c>
      <c r="AJ32" s="70"/>
      <c r="AK32" s="62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6">
        <v>83717.298402555913</v>
      </c>
      <c r="BB32" s="61"/>
      <c r="BC32" s="61"/>
      <c r="BD32" s="61"/>
      <c r="BE32" s="61"/>
      <c r="BF32" s="66">
        <v>99524.629606099115</v>
      </c>
      <c r="BG32" s="66">
        <v>99247.720606826799</v>
      </c>
      <c r="BH32" s="70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6">
        <v>61909.057534246575</v>
      </c>
      <c r="BZ32" s="61"/>
      <c r="CA32" s="61"/>
      <c r="CB32" s="61"/>
      <c r="CC32" s="61"/>
      <c r="CD32" s="61">
        <v>77812.227858293074</v>
      </c>
      <c r="CE32" s="66">
        <v>77369.3714063714</v>
      </c>
      <c r="CF32" s="70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6">
        <v>53155.789523809523</v>
      </c>
      <c r="CX32" s="61"/>
      <c r="CY32" s="61"/>
      <c r="CZ32" s="61"/>
      <c r="DA32" s="61"/>
      <c r="DB32" s="66">
        <v>62172.674822923371</v>
      </c>
      <c r="DC32" s="66">
        <v>62478.94261766602</v>
      </c>
      <c r="DD32" s="70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6">
        <v>38389.495446265937</v>
      </c>
      <c r="DV32" s="61"/>
      <c r="DW32" s="61"/>
      <c r="DX32" s="61"/>
      <c r="DY32" s="61"/>
      <c r="DZ32" s="61">
        <v>45610.40111111111</v>
      </c>
      <c r="EA32" s="66">
        <v>46291.673728813563</v>
      </c>
    </row>
    <row r="33" spans="1:131">
      <c r="A33" s="61" t="s">
        <v>113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79">
        <v>69456.671104150359</v>
      </c>
      <c r="AD33" s="61"/>
      <c r="AE33" s="61"/>
      <c r="AF33" s="61"/>
      <c r="AG33" s="61"/>
      <c r="AH33" s="66">
        <v>89325.231263383292</v>
      </c>
      <c r="AI33" s="66">
        <v>83192.468588322241</v>
      </c>
      <c r="AJ33" s="70"/>
      <c r="AK33" s="62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6">
        <v>86635.905325443789</v>
      </c>
      <c r="BB33" s="61"/>
      <c r="BC33" s="61"/>
      <c r="BD33" s="61"/>
      <c r="BE33" s="61"/>
      <c r="BF33" s="66">
        <v>111025.45255474452</v>
      </c>
      <c r="BG33" s="66">
        <v>103951.42300194931</v>
      </c>
      <c r="BH33" s="70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6">
        <v>65906.537091988124</v>
      </c>
      <c r="BZ33" s="61"/>
      <c r="CA33" s="61"/>
      <c r="CB33" s="61"/>
      <c r="CC33" s="61"/>
      <c r="CD33" s="61">
        <v>85101.7485380117</v>
      </c>
      <c r="CE33" s="66">
        <v>79413.056022408957</v>
      </c>
      <c r="CF33" s="70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6">
        <v>56432.724832214764</v>
      </c>
      <c r="CX33" s="61"/>
      <c r="CY33" s="61"/>
      <c r="CZ33" s="61"/>
      <c r="DA33" s="61"/>
      <c r="DB33" s="66">
        <v>72744.021052631579</v>
      </c>
      <c r="DC33" s="66">
        <v>67741.838616714696</v>
      </c>
      <c r="DD33" s="70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6">
        <v>42550.444444444445</v>
      </c>
      <c r="DV33" s="61"/>
      <c r="DW33" s="61"/>
      <c r="DX33" s="61"/>
      <c r="DY33" s="61"/>
      <c r="DZ33" s="61">
        <v>57673.091603053435</v>
      </c>
      <c r="EA33" s="66">
        <v>54231.257352941175</v>
      </c>
    </row>
    <row r="34" spans="1:131">
      <c r="A34" s="61" t="s">
        <v>114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79">
        <v>52105.269972451788</v>
      </c>
      <c r="AD34" s="61"/>
      <c r="AE34" s="61"/>
      <c r="AF34" s="61"/>
      <c r="AG34" s="61"/>
      <c r="AH34" s="66">
        <v>61597.21983914209</v>
      </c>
      <c r="AI34" s="66">
        <v>61481.463572584995</v>
      </c>
      <c r="AJ34" s="70"/>
      <c r="AK34" s="62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6">
        <v>66532.924354243543</v>
      </c>
      <c r="BB34" s="61"/>
      <c r="BC34" s="61"/>
      <c r="BD34" s="61"/>
      <c r="BE34" s="61"/>
      <c r="BF34" s="66">
        <v>80196.576709796675</v>
      </c>
      <c r="BG34" s="66">
        <v>80083.108928571426</v>
      </c>
      <c r="BH34" s="70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6">
        <v>54878.486111111109</v>
      </c>
      <c r="BZ34" s="61"/>
      <c r="CA34" s="61"/>
      <c r="CB34" s="61"/>
      <c r="CC34" s="61"/>
      <c r="CD34" s="61">
        <v>63515.405679513184</v>
      </c>
      <c r="CE34" s="66">
        <v>62700.475054229937</v>
      </c>
      <c r="CF34" s="70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6">
        <v>46396.995260663505</v>
      </c>
      <c r="CX34" s="61"/>
      <c r="CY34" s="61"/>
      <c r="CZ34" s="61"/>
      <c r="DA34" s="61"/>
      <c r="DB34" s="66">
        <v>54635.482222222221</v>
      </c>
      <c r="DC34" s="66">
        <v>54650.846330275228</v>
      </c>
      <c r="DD34" s="70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6">
        <v>37435.282608695656</v>
      </c>
      <c r="DV34" s="61"/>
      <c r="DW34" s="61"/>
      <c r="DX34" s="61"/>
      <c r="DY34" s="61"/>
      <c r="DZ34" s="61">
        <v>43295.61006289308</v>
      </c>
      <c r="EA34" s="66">
        <v>42920.894736842107</v>
      </c>
    </row>
    <row r="35" spans="1:131">
      <c r="A35" s="61" t="s">
        <v>115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79">
        <v>52321.185645272599</v>
      </c>
      <c r="AD35" s="61"/>
      <c r="AE35" s="61"/>
      <c r="AF35" s="61"/>
      <c r="AG35" s="61"/>
      <c r="AH35" s="66">
        <v>61270.840103159251</v>
      </c>
      <c r="AI35" s="66">
        <v>61264.366373902136</v>
      </c>
      <c r="AJ35" s="70"/>
      <c r="AK35" s="62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6">
        <v>65861.09210526316</v>
      </c>
      <c r="BB35" s="61"/>
      <c r="BC35" s="61"/>
      <c r="BD35" s="61"/>
      <c r="BE35" s="61"/>
      <c r="BF35" s="66">
        <v>78006.39832285115</v>
      </c>
      <c r="BG35" s="66">
        <v>77925.312127236582</v>
      </c>
      <c r="BH35" s="70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6">
        <v>52913.429824561405</v>
      </c>
      <c r="BZ35" s="61"/>
      <c r="CA35" s="61"/>
      <c r="CB35" s="61"/>
      <c r="CC35" s="61"/>
      <c r="CD35" s="61">
        <v>62264.133136094671</v>
      </c>
      <c r="CE35" s="66">
        <v>62154.722797927461</v>
      </c>
      <c r="CF35" s="70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6">
        <v>46591.697368421053</v>
      </c>
      <c r="CX35" s="61"/>
      <c r="CY35" s="61"/>
      <c r="CZ35" s="61"/>
      <c r="DA35" s="61"/>
      <c r="DB35" s="66">
        <v>55344.07</v>
      </c>
      <c r="DC35" s="66">
        <v>54508.255494505494</v>
      </c>
      <c r="DD35" s="70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6">
        <v>37044.172839506173</v>
      </c>
      <c r="DV35" s="61"/>
      <c r="DW35" s="61"/>
      <c r="DX35" s="61"/>
      <c r="DY35" s="61"/>
      <c r="DZ35" s="61">
        <v>44157.304347826088</v>
      </c>
      <c r="EA35" s="66">
        <v>42301.933673469386</v>
      </c>
    </row>
    <row r="36" spans="1:131">
      <c r="A36" s="61" t="s">
        <v>116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79">
        <v>73978.210835509133</v>
      </c>
      <c r="AD36" s="61"/>
      <c r="AE36" s="61"/>
      <c r="AF36" s="61"/>
      <c r="AG36" s="61"/>
      <c r="AH36" s="66">
        <v>89330.221941992437</v>
      </c>
      <c r="AI36" s="66">
        <v>89272.390759075904</v>
      </c>
      <c r="AJ36" s="70"/>
      <c r="AK36" s="62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6">
        <v>99768.220489977728</v>
      </c>
      <c r="BB36" s="61"/>
      <c r="BC36" s="61"/>
      <c r="BD36" s="61"/>
      <c r="BE36" s="61"/>
      <c r="BF36" s="66">
        <v>120694.85256410256</v>
      </c>
      <c r="BG36" s="66">
        <v>119859.852494577</v>
      </c>
      <c r="BH36" s="70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6">
        <v>73525.09821428571</v>
      </c>
      <c r="BZ36" s="61"/>
      <c r="CA36" s="61"/>
      <c r="CB36" s="61"/>
      <c r="CC36" s="61"/>
      <c r="CD36" s="61">
        <v>88472.615079365074</v>
      </c>
      <c r="CE36" s="66">
        <v>87115.964636542238</v>
      </c>
      <c r="CF36" s="70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6">
        <v>58612.014989293362</v>
      </c>
      <c r="CX36" s="61"/>
      <c r="CY36" s="61"/>
      <c r="CZ36" s="61"/>
      <c r="DA36" s="61"/>
      <c r="DB36" s="66">
        <v>70531.308584686776</v>
      </c>
      <c r="DC36" s="66">
        <v>69580.244680851058</v>
      </c>
      <c r="DD36" s="70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6">
        <v>41596.822222222225</v>
      </c>
      <c r="DV36" s="61"/>
      <c r="DW36" s="61"/>
      <c r="DX36" s="61"/>
      <c r="DY36" s="61"/>
      <c r="DZ36" s="61">
        <v>56847.353658536587</v>
      </c>
      <c r="EA36" s="66">
        <v>55809.827160493827</v>
      </c>
    </row>
    <row r="37" spans="1:131">
      <c r="A37" s="62" t="s">
        <v>117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79">
        <v>61862.467724288843</v>
      </c>
      <c r="AD37" s="62"/>
      <c r="AE37" s="62"/>
      <c r="AF37" s="62"/>
      <c r="AG37" s="62"/>
      <c r="AH37" s="67">
        <v>70553.568038740923</v>
      </c>
      <c r="AI37" s="67">
        <v>70629.767790262165</v>
      </c>
      <c r="AJ37" s="70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7">
        <v>78663.102773246326</v>
      </c>
      <c r="BB37" s="62"/>
      <c r="BC37" s="62"/>
      <c r="BD37" s="62"/>
      <c r="BE37" s="62"/>
      <c r="BF37" s="67">
        <v>90093.869300911858</v>
      </c>
      <c r="BG37" s="67">
        <v>89442.17176128093</v>
      </c>
      <c r="BH37" s="70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7">
        <v>59097.742307692308</v>
      </c>
      <c r="BZ37" s="62"/>
      <c r="CA37" s="62"/>
      <c r="CB37" s="62"/>
      <c r="CC37" s="62"/>
      <c r="CD37" s="62">
        <v>68924.222580645161</v>
      </c>
      <c r="CE37" s="67">
        <v>68980.278026905828</v>
      </c>
      <c r="CF37" s="70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7">
        <v>51615.862669245646</v>
      </c>
      <c r="CX37" s="62"/>
      <c r="CY37" s="62"/>
      <c r="CZ37" s="62"/>
      <c r="DA37" s="62"/>
      <c r="DB37" s="67">
        <v>58259.021238938054</v>
      </c>
      <c r="DC37" s="67">
        <v>58265.21146953405</v>
      </c>
      <c r="DD37" s="70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7">
        <v>36806.446428571428</v>
      </c>
      <c r="DV37" s="62"/>
      <c r="DW37" s="62"/>
      <c r="DX37" s="62"/>
      <c r="DY37" s="62"/>
      <c r="DZ37" s="62">
        <v>42213.975903614461</v>
      </c>
      <c r="EA37" s="67">
        <v>42032.289473684214</v>
      </c>
    </row>
    <row r="38" spans="1:131">
      <c r="A38" s="62" t="s">
        <v>118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79">
        <v>57539.200817995908</v>
      </c>
      <c r="AD38" s="62"/>
      <c r="AE38" s="62"/>
      <c r="AF38" s="62"/>
      <c r="AG38" s="62"/>
      <c r="AH38" s="67">
        <v>69576.039727988551</v>
      </c>
      <c r="AI38" s="67">
        <v>69533.689003436433</v>
      </c>
      <c r="AJ38" s="70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7">
        <v>75040.267625899287</v>
      </c>
      <c r="BB38" s="62"/>
      <c r="BC38" s="62"/>
      <c r="BD38" s="62"/>
      <c r="BE38" s="62"/>
      <c r="BF38" s="67">
        <v>90350.854216867476</v>
      </c>
      <c r="BG38" s="67">
        <v>90907.392065344218</v>
      </c>
      <c r="BH38" s="70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7">
        <v>57386.02247191011</v>
      </c>
      <c r="BZ38" s="62"/>
      <c r="CA38" s="62"/>
      <c r="CB38" s="62"/>
      <c r="CC38" s="62"/>
      <c r="CD38" s="62">
        <v>70250.236180904525</v>
      </c>
      <c r="CE38" s="67">
        <v>70970.36045056321</v>
      </c>
      <c r="CF38" s="70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7">
        <v>49565.604105571845</v>
      </c>
      <c r="CX38" s="62"/>
      <c r="CY38" s="62"/>
      <c r="CZ38" s="62"/>
      <c r="DA38" s="62"/>
      <c r="DB38" s="67">
        <v>62217.466034755133</v>
      </c>
      <c r="DC38" s="67">
        <v>62520.167441860467</v>
      </c>
      <c r="DD38" s="70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7">
        <v>37440.512987012989</v>
      </c>
      <c r="DV38" s="62"/>
      <c r="DW38" s="62"/>
      <c r="DX38" s="62"/>
      <c r="DY38" s="62"/>
      <c r="DZ38" s="62">
        <v>43338.190476190473</v>
      </c>
      <c r="EA38" s="67">
        <v>43297.895985401461</v>
      </c>
    </row>
    <row r="39" spans="1:131">
      <c r="A39" s="62" t="s">
        <v>119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79">
        <v>59465.283404816895</v>
      </c>
      <c r="AD39" s="62"/>
      <c r="AE39" s="62"/>
      <c r="AF39" s="62"/>
      <c r="AG39" s="62"/>
      <c r="AH39" s="67">
        <v>69362.193725251302</v>
      </c>
      <c r="AI39" s="67">
        <v>71573.113366645848</v>
      </c>
      <c r="AJ39" s="70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7">
        <v>78321.379424778759</v>
      </c>
      <c r="BB39" s="62"/>
      <c r="BC39" s="62"/>
      <c r="BD39" s="62"/>
      <c r="BE39" s="62"/>
      <c r="BF39" s="67">
        <v>91453.1503531786</v>
      </c>
      <c r="BG39" s="67">
        <v>95639.009523809524</v>
      </c>
      <c r="BH39" s="70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7">
        <v>57922.748062015504</v>
      </c>
      <c r="BZ39" s="62"/>
      <c r="CA39" s="62"/>
      <c r="CB39" s="62"/>
      <c r="CC39" s="62"/>
      <c r="CD39" s="62">
        <v>68014.331441543705</v>
      </c>
      <c r="CE39" s="67">
        <v>69629.244212962964</v>
      </c>
      <c r="CF39" s="70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7">
        <v>51425.608208955222</v>
      </c>
      <c r="CX39" s="62"/>
      <c r="CY39" s="62"/>
      <c r="CZ39" s="62"/>
      <c r="DA39" s="62"/>
      <c r="DB39" s="67">
        <v>60304.718631178708</v>
      </c>
      <c r="DC39" s="67">
        <v>61589.905660377357</v>
      </c>
      <c r="DD39" s="70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7">
        <v>39572.288732394365</v>
      </c>
      <c r="DV39" s="62"/>
      <c r="DW39" s="62"/>
      <c r="DX39" s="62"/>
      <c r="DY39" s="62"/>
      <c r="DZ39" s="62">
        <v>45783.901785714283</v>
      </c>
      <c r="EA39" s="67">
        <v>43508.340206185567</v>
      </c>
    </row>
    <row r="40" spans="1:131">
      <c r="A40" s="62" t="s">
        <v>120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79">
        <v>66389.742358078598</v>
      </c>
      <c r="AD40" s="62"/>
      <c r="AE40" s="62"/>
      <c r="AF40" s="62"/>
      <c r="AG40" s="62"/>
      <c r="AH40" s="67">
        <v>79606.325835610682</v>
      </c>
      <c r="AI40" s="67">
        <v>79645.351993389791</v>
      </c>
      <c r="AJ40" s="70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7">
        <v>85492.040750323416</v>
      </c>
      <c r="BB40" s="62"/>
      <c r="BC40" s="62"/>
      <c r="BD40" s="62"/>
      <c r="BE40" s="62"/>
      <c r="BF40" s="67">
        <v>103817.31202531645</v>
      </c>
      <c r="BG40" s="67">
        <v>104019.65103189493</v>
      </c>
      <c r="BH40" s="70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7">
        <v>63036.991452991453</v>
      </c>
      <c r="BZ40" s="62"/>
      <c r="CA40" s="62"/>
      <c r="CB40" s="62"/>
      <c r="CC40" s="62"/>
      <c r="CD40" s="62">
        <v>77505.055363321793</v>
      </c>
      <c r="CE40" s="67">
        <v>77271.84521739131</v>
      </c>
      <c r="CF40" s="70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7">
        <v>56401.295381310418</v>
      </c>
      <c r="CX40" s="62"/>
      <c r="CY40" s="62"/>
      <c r="CZ40" s="62"/>
      <c r="DA40" s="62"/>
      <c r="DB40" s="67">
        <v>68328.947527749755</v>
      </c>
      <c r="DC40" s="67">
        <v>70047.344129554651</v>
      </c>
      <c r="DD40" s="70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7">
        <v>37384.282608695656</v>
      </c>
      <c r="DV40" s="62"/>
      <c r="DW40" s="62"/>
      <c r="DX40" s="62"/>
      <c r="DY40" s="62"/>
      <c r="DZ40" s="62">
        <v>46910.933035714283</v>
      </c>
      <c r="EA40" s="67">
        <v>47997.729613733907</v>
      </c>
    </row>
    <row r="41" spans="1:131">
      <c r="A41" s="63" t="s">
        <v>121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80">
        <v>65049.701399688958</v>
      </c>
      <c r="AD41" s="63"/>
      <c r="AE41" s="63"/>
      <c r="AF41" s="63"/>
      <c r="AG41" s="63"/>
      <c r="AH41" s="68">
        <v>78941.341095890413</v>
      </c>
      <c r="AI41" s="68">
        <v>79013.122972972968</v>
      </c>
      <c r="AJ41" s="72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8">
        <v>82534.971962616823</v>
      </c>
      <c r="BB41" s="63"/>
      <c r="BC41" s="63"/>
      <c r="BD41" s="63"/>
      <c r="BE41" s="63"/>
      <c r="BF41" s="68">
        <v>106370.50704225352</v>
      </c>
      <c r="BG41" s="68">
        <v>107024.96313364056</v>
      </c>
      <c r="BH41" s="72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8">
        <v>62382.791139240508</v>
      </c>
      <c r="BZ41" s="63"/>
      <c r="CA41" s="63"/>
      <c r="CB41" s="63"/>
      <c r="CC41" s="63"/>
      <c r="CD41" s="63">
        <v>76480.825641025644</v>
      </c>
      <c r="CE41" s="68">
        <v>76078.470297029708</v>
      </c>
      <c r="CF41" s="72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8">
        <v>58932.592356687899</v>
      </c>
      <c r="CX41" s="63"/>
      <c r="CY41" s="63"/>
      <c r="CZ41" s="63"/>
      <c r="DA41" s="63"/>
      <c r="DB41" s="68">
        <v>68123.982558139542</v>
      </c>
      <c r="DC41" s="68">
        <v>66964.885057471271</v>
      </c>
      <c r="DD41" s="72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8">
        <v>49316</v>
      </c>
      <c r="DV41" s="63"/>
      <c r="DW41" s="63"/>
      <c r="DX41" s="63"/>
      <c r="DY41" s="63"/>
      <c r="DZ41" s="63">
        <v>59060</v>
      </c>
      <c r="EA41" s="68">
        <v>72720</v>
      </c>
    </row>
    <row r="42" spans="1:13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2"/>
      <c r="AD42" s="61"/>
      <c r="AE42" s="61"/>
      <c r="AF42" s="61"/>
      <c r="AG42" s="61"/>
      <c r="AH42" s="61"/>
      <c r="AI42" s="61"/>
      <c r="AJ42" s="70"/>
      <c r="AK42" s="62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70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70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70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</row>
    <row r="43" spans="1:131">
      <c r="A43" s="61" t="s">
        <v>123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2">
        <v>65352.32450033685</v>
      </c>
      <c r="AD43" s="61"/>
      <c r="AE43" s="61"/>
      <c r="AF43" s="61"/>
      <c r="AG43" s="61"/>
      <c r="AH43" s="61">
        <v>75183.392639372818</v>
      </c>
      <c r="AI43" s="61">
        <v>76072.56918798665</v>
      </c>
      <c r="AJ43" s="70"/>
      <c r="AK43" s="62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>
        <v>90089.36034036256</v>
      </c>
      <c r="BB43" s="61"/>
      <c r="BC43" s="61"/>
      <c r="BD43" s="61"/>
      <c r="BE43" s="61"/>
      <c r="BF43" s="61">
        <v>105645.50899843505</v>
      </c>
      <c r="BG43" s="61">
        <v>107000.03609678699</v>
      </c>
      <c r="BH43" s="70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>
        <v>65278.189617245931</v>
      </c>
      <c r="BZ43" s="61"/>
      <c r="CA43" s="61"/>
      <c r="CB43" s="61"/>
      <c r="CC43" s="61"/>
      <c r="CD43" s="61">
        <v>74846.42200725514</v>
      </c>
      <c r="CE43" s="61">
        <v>75240.921977124177</v>
      </c>
      <c r="CF43" s="70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>
        <v>55249.643966547192</v>
      </c>
      <c r="CX43" s="61"/>
      <c r="CY43" s="61"/>
      <c r="CZ43" s="61"/>
      <c r="DA43" s="61"/>
      <c r="DB43" s="61">
        <v>65876.069645732685</v>
      </c>
      <c r="DC43" s="61">
        <v>67508.818529536758</v>
      </c>
      <c r="DD43" s="70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>
        <v>34530.382731958765</v>
      </c>
      <c r="DV43" s="61"/>
      <c r="DW43" s="61"/>
      <c r="DX43" s="61"/>
      <c r="DY43" s="61"/>
      <c r="DZ43" s="61">
        <v>40907.295884315907</v>
      </c>
      <c r="EA43" s="301">
        <v>40554.894263217095</v>
      </c>
    </row>
    <row r="44" spans="1:131">
      <c r="A44" s="61" t="s">
        <v>124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2">
        <v>64718.467471756914</v>
      </c>
      <c r="AD44" s="61"/>
      <c r="AE44" s="61"/>
      <c r="AF44" s="61"/>
      <c r="AG44" s="61"/>
      <c r="AH44" s="61">
        <v>73308.948961937713</v>
      </c>
      <c r="AI44" s="61">
        <v>75589.61386138614</v>
      </c>
      <c r="AJ44" s="70"/>
      <c r="AK44" s="62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>
        <v>90476.950266429834</v>
      </c>
      <c r="BB44" s="61"/>
      <c r="BC44" s="61"/>
      <c r="BD44" s="61"/>
      <c r="BE44" s="61"/>
      <c r="BF44" s="61">
        <v>104547.24760661444</v>
      </c>
      <c r="BG44" s="61">
        <v>107872.68176047398</v>
      </c>
      <c r="BH44" s="70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>
        <v>64551.514865502599</v>
      </c>
      <c r="BZ44" s="61"/>
      <c r="CA44" s="61"/>
      <c r="CB44" s="61"/>
      <c r="CC44" s="61"/>
      <c r="CD44" s="61">
        <v>72447.756398104262</v>
      </c>
      <c r="CE44" s="61">
        <v>74456.393170281488</v>
      </c>
      <c r="CF44" s="70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>
        <v>54281.999514091352</v>
      </c>
      <c r="CX44" s="61"/>
      <c r="CY44" s="61"/>
      <c r="CZ44" s="61"/>
      <c r="DA44" s="61"/>
      <c r="DB44" s="61">
        <v>62649.411176737849</v>
      </c>
      <c r="DC44" s="61">
        <v>64684.931546194348</v>
      </c>
      <c r="DD44" s="70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>
        <v>36362.309392265197</v>
      </c>
      <c r="DV44" s="61"/>
      <c r="DW44" s="61"/>
      <c r="DX44" s="61"/>
      <c r="DY44" s="61"/>
      <c r="DZ44" s="61">
        <v>41737.061281337046</v>
      </c>
      <c r="EA44" s="301">
        <v>43639.887955182072</v>
      </c>
    </row>
    <row r="45" spans="1:131">
      <c r="A45" s="61" t="s">
        <v>125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2">
        <v>73978.292690815011</v>
      </c>
      <c r="AD45" s="61"/>
      <c r="AE45" s="61"/>
      <c r="AF45" s="61"/>
      <c r="AG45" s="61"/>
      <c r="AH45" s="61">
        <v>84171.657308513881</v>
      </c>
      <c r="AI45" s="61">
        <v>85953.605691056917</v>
      </c>
      <c r="AJ45" s="70"/>
      <c r="AK45" s="62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>
        <v>95616.610095735421</v>
      </c>
      <c r="BB45" s="61"/>
      <c r="BC45" s="61"/>
      <c r="BD45" s="61"/>
      <c r="BE45" s="61"/>
      <c r="BF45" s="61">
        <v>112487.99107142857</v>
      </c>
      <c r="BG45" s="61">
        <v>115079.99368800722</v>
      </c>
      <c r="BH45" s="70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>
        <v>68151.352816153027</v>
      </c>
      <c r="BZ45" s="61"/>
      <c r="CA45" s="61"/>
      <c r="CB45" s="61"/>
      <c r="CC45" s="61"/>
      <c r="CD45" s="61">
        <v>79100.373195876295</v>
      </c>
      <c r="CE45" s="61">
        <v>80268.806588735388</v>
      </c>
      <c r="CF45" s="70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>
        <v>59129.167112299467</v>
      </c>
      <c r="CX45" s="61"/>
      <c r="CY45" s="61"/>
      <c r="CZ45" s="61"/>
      <c r="DA45" s="61"/>
      <c r="DB45" s="61">
        <v>68538.438320209971</v>
      </c>
      <c r="DC45" s="61">
        <v>70268.618513323978</v>
      </c>
      <c r="DD45" s="70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>
        <v>44834.826923076922</v>
      </c>
      <c r="DV45" s="61"/>
      <c r="DW45" s="61"/>
      <c r="DX45" s="61"/>
      <c r="DY45" s="61"/>
      <c r="DZ45" s="61">
        <v>45765.954545454544</v>
      </c>
      <c r="EA45" s="301">
        <v>40096.496855345911</v>
      </c>
    </row>
    <row r="46" spans="1:131">
      <c r="A46" s="61" t="s">
        <v>126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2">
        <v>62616.569927007302</v>
      </c>
      <c r="AD46" s="61"/>
      <c r="AE46" s="61"/>
      <c r="AF46" s="61"/>
      <c r="AG46" s="61"/>
      <c r="AH46" s="61">
        <v>72671.814390842192</v>
      </c>
      <c r="AI46" s="61">
        <v>72259.84773100054</v>
      </c>
      <c r="AJ46" s="70"/>
      <c r="AK46" s="62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>
        <v>81969.676712328772</v>
      </c>
      <c r="BB46" s="61"/>
      <c r="BC46" s="61"/>
      <c r="BD46" s="61"/>
      <c r="BE46" s="61"/>
      <c r="BF46" s="61">
        <v>99751.079928952036</v>
      </c>
      <c r="BG46" s="61">
        <v>99192.382326420193</v>
      </c>
      <c r="BH46" s="70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>
        <v>61544.402970297029</v>
      </c>
      <c r="BZ46" s="61"/>
      <c r="CA46" s="61"/>
      <c r="CB46" s="61"/>
      <c r="CC46" s="61"/>
      <c r="CD46" s="61">
        <v>71670.500468603568</v>
      </c>
      <c r="CE46" s="61">
        <v>71634.208022388062</v>
      </c>
      <c r="CF46" s="70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>
        <v>51643.302351623737</v>
      </c>
      <c r="CX46" s="61"/>
      <c r="CY46" s="61"/>
      <c r="CZ46" s="61"/>
      <c r="DA46" s="61"/>
      <c r="DB46" s="61">
        <v>59196.529867256635</v>
      </c>
      <c r="DC46" s="61">
        <v>59351.378995433792</v>
      </c>
      <c r="DD46" s="70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>
        <v>38671.639240506331</v>
      </c>
      <c r="DV46" s="61"/>
      <c r="DW46" s="61"/>
      <c r="DX46" s="61"/>
      <c r="DY46" s="61"/>
      <c r="DZ46" s="61">
        <v>41406.037974683546</v>
      </c>
      <c r="EA46" s="301">
        <v>41399.304020100506</v>
      </c>
    </row>
    <row r="47" spans="1:131">
      <c r="A47" s="61" t="s">
        <v>127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2">
        <v>71305.848896285912</v>
      </c>
      <c r="AD47" s="61"/>
      <c r="AE47" s="61"/>
      <c r="AF47" s="61"/>
      <c r="AG47" s="61"/>
      <c r="AH47" s="61">
        <v>80768.238262635728</v>
      </c>
      <c r="AI47" s="61">
        <v>82276.002357008168</v>
      </c>
      <c r="AJ47" s="70"/>
      <c r="AK47" s="62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>
        <v>95790.778343949045</v>
      </c>
      <c r="BB47" s="61"/>
      <c r="BC47" s="61"/>
      <c r="BD47" s="61"/>
      <c r="BE47" s="61"/>
      <c r="BF47" s="61">
        <v>112697.84074255008</v>
      </c>
      <c r="BG47" s="61">
        <v>114326.25746178112</v>
      </c>
      <c r="BH47" s="70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>
        <v>68468.550619834714</v>
      </c>
      <c r="BZ47" s="61"/>
      <c r="CA47" s="61"/>
      <c r="CB47" s="61"/>
      <c r="CC47" s="61"/>
      <c r="CD47" s="61">
        <v>79474.112989045389</v>
      </c>
      <c r="CE47" s="61">
        <v>80500.983729662083</v>
      </c>
      <c r="CF47" s="70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>
        <v>56780.244925575098</v>
      </c>
      <c r="CX47" s="61"/>
      <c r="CY47" s="61"/>
      <c r="CZ47" s="61"/>
      <c r="DA47" s="61"/>
      <c r="DB47" s="61">
        <v>66322.309703843726</v>
      </c>
      <c r="DC47" s="61">
        <v>67670.283197389886</v>
      </c>
      <c r="DD47" s="70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>
        <v>38935.399568034554</v>
      </c>
      <c r="DV47" s="61"/>
      <c r="DW47" s="61"/>
      <c r="DX47" s="61"/>
      <c r="DY47" s="61"/>
      <c r="DZ47" s="61">
        <v>44653.123266563947</v>
      </c>
      <c r="EA47" s="301">
        <v>46123.768740031897</v>
      </c>
    </row>
    <row r="48" spans="1:131">
      <c r="A48" s="61" t="s">
        <v>128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2">
        <v>70441.108957693214</v>
      </c>
      <c r="AD48" s="61"/>
      <c r="AE48" s="61"/>
      <c r="AF48" s="61"/>
      <c r="AG48" s="61"/>
      <c r="AH48" s="61">
        <v>78946.744496330881</v>
      </c>
      <c r="AI48" s="61">
        <v>78737.843290236284</v>
      </c>
      <c r="AJ48" s="70"/>
      <c r="AK48" s="62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>
        <v>89380.875367430926</v>
      </c>
      <c r="BB48" s="61"/>
      <c r="BC48" s="61"/>
      <c r="BD48" s="61"/>
      <c r="BE48" s="61"/>
      <c r="BF48" s="61">
        <v>101909.03291139241</v>
      </c>
      <c r="BG48" s="61">
        <v>101292.49211356467</v>
      </c>
      <c r="BH48" s="70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>
        <v>64882.408970976256</v>
      </c>
      <c r="BZ48" s="61"/>
      <c r="CA48" s="61"/>
      <c r="CB48" s="61"/>
      <c r="CC48" s="61"/>
      <c r="CD48" s="61">
        <v>75150.700239808153</v>
      </c>
      <c r="CE48" s="61">
        <v>74741.65700861394</v>
      </c>
      <c r="CF48" s="70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>
        <v>54086.560169491524</v>
      </c>
      <c r="CX48" s="61"/>
      <c r="CY48" s="61"/>
      <c r="CZ48" s="61"/>
      <c r="DA48" s="61"/>
      <c r="DB48" s="61">
        <v>64788.994863013701</v>
      </c>
      <c r="DC48" s="61">
        <v>65406.545537340622</v>
      </c>
      <c r="DD48" s="70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>
        <v>39464.896713615024</v>
      </c>
      <c r="DV48" s="61"/>
      <c r="DW48" s="61"/>
      <c r="DX48" s="61"/>
      <c r="DY48" s="61"/>
      <c r="DZ48" s="61">
        <v>46036.383954154728</v>
      </c>
      <c r="EA48" s="301">
        <v>45102.828337874656</v>
      </c>
    </row>
    <row r="49" spans="1:131">
      <c r="A49" s="61" t="s">
        <v>129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>
        <v>56582.318796724816</v>
      </c>
      <c r="AD49" s="61"/>
      <c r="AE49" s="61"/>
      <c r="AF49" s="61"/>
      <c r="AG49" s="61"/>
      <c r="AH49" s="61">
        <v>66514.775382971144</v>
      </c>
      <c r="AI49" s="61">
        <v>66448.636509065051</v>
      </c>
      <c r="AJ49" s="70"/>
      <c r="AK49" s="62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>
        <v>78642.393980848152</v>
      </c>
      <c r="BB49" s="61"/>
      <c r="BC49" s="61"/>
      <c r="BD49" s="61"/>
      <c r="BE49" s="61"/>
      <c r="BF49" s="61">
        <v>90524.232342007439</v>
      </c>
      <c r="BG49" s="61">
        <v>89436.061899038468</v>
      </c>
      <c r="BH49" s="70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>
        <v>59476.792549306061</v>
      </c>
      <c r="BZ49" s="61"/>
      <c r="CA49" s="61"/>
      <c r="CB49" s="61"/>
      <c r="CC49" s="61"/>
      <c r="CD49" s="61">
        <v>67943.343521594681</v>
      </c>
      <c r="CE49" s="61">
        <v>68040.991902834008</v>
      </c>
      <c r="CF49" s="70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>
        <v>50074.429319371731</v>
      </c>
      <c r="CX49" s="61"/>
      <c r="CY49" s="61"/>
      <c r="CZ49" s="61"/>
      <c r="DA49" s="61"/>
      <c r="DB49" s="61">
        <v>56712.438027255026</v>
      </c>
      <c r="DC49" s="61">
        <v>56878.457682291664</v>
      </c>
      <c r="DD49" s="70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>
        <v>37130.494949494947</v>
      </c>
      <c r="DV49" s="61"/>
      <c r="DW49" s="61"/>
      <c r="DX49" s="61"/>
      <c r="DY49" s="61"/>
      <c r="DZ49" s="61">
        <v>40096.658093797276</v>
      </c>
      <c r="EA49" s="301">
        <v>39830.571428571428</v>
      </c>
    </row>
    <row r="50" spans="1:131">
      <c r="A50" s="61" t="s">
        <v>130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2">
        <v>65716.330243902441</v>
      </c>
      <c r="AD50" s="61"/>
      <c r="AE50" s="61"/>
      <c r="AF50" s="61"/>
      <c r="AG50" s="61"/>
      <c r="AH50" s="61">
        <v>75177.065236818584</v>
      </c>
      <c r="AI50" s="61">
        <v>76513.328506787337</v>
      </c>
      <c r="AJ50" s="70"/>
      <c r="AK50" s="62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>
        <v>83370.497422680419</v>
      </c>
      <c r="BB50" s="61"/>
      <c r="BC50" s="61"/>
      <c r="BD50" s="61"/>
      <c r="BE50" s="61"/>
      <c r="BF50" s="61">
        <v>96670.711722488035</v>
      </c>
      <c r="BG50" s="61">
        <v>98252.589221556889</v>
      </c>
      <c r="BH50" s="70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>
        <v>63142.23361344538</v>
      </c>
      <c r="BZ50" s="61"/>
      <c r="CA50" s="61"/>
      <c r="CB50" s="61"/>
      <c r="CC50" s="61"/>
      <c r="CD50" s="61">
        <v>72260.777235772359</v>
      </c>
      <c r="CE50" s="61">
        <v>73145.734899328862</v>
      </c>
      <c r="CF50" s="70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>
        <v>52579.883027522934</v>
      </c>
      <c r="CX50" s="61"/>
      <c r="CY50" s="61"/>
      <c r="CZ50" s="61"/>
      <c r="DA50" s="61"/>
      <c r="DB50" s="61">
        <v>60610.847866419295</v>
      </c>
      <c r="DC50" s="61">
        <v>62735.606694560673</v>
      </c>
      <c r="DD50" s="70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>
        <v>34881.153846153844</v>
      </c>
      <c r="DV50" s="61"/>
      <c r="DW50" s="61"/>
      <c r="DX50" s="61"/>
      <c r="DY50" s="61"/>
      <c r="DZ50" s="61">
        <v>39719.077922077922</v>
      </c>
      <c r="EA50" s="301">
        <v>41351.588235294119</v>
      </c>
    </row>
    <row r="51" spans="1:131">
      <c r="A51" s="61" t="s">
        <v>131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2">
        <v>51556.188904494382</v>
      </c>
      <c r="AD51" s="61"/>
      <c r="AE51" s="61"/>
      <c r="AF51" s="61"/>
      <c r="AG51" s="61"/>
      <c r="AH51" s="61">
        <v>63519.432284541726</v>
      </c>
      <c r="AI51" s="61">
        <v>66128.738348868181</v>
      </c>
      <c r="AJ51" s="70"/>
      <c r="AK51" s="62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>
        <v>66872.141914191423</v>
      </c>
      <c r="BB51" s="61"/>
      <c r="BC51" s="61"/>
      <c r="BD51" s="61"/>
      <c r="BE51" s="61"/>
      <c r="BF51" s="61">
        <v>87040.65</v>
      </c>
      <c r="BG51" s="61">
        <v>90503.166077738511</v>
      </c>
      <c r="BH51" s="70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>
        <v>54735.765193370164</v>
      </c>
      <c r="BZ51" s="61"/>
      <c r="CA51" s="61"/>
      <c r="CB51" s="61"/>
      <c r="CC51" s="61"/>
      <c r="CD51" s="61">
        <v>68228.573770491799</v>
      </c>
      <c r="CE51" s="61">
        <v>71708.324742268043</v>
      </c>
      <c r="CF51" s="70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>
        <v>48582.642990654203</v>
      </c>
      <c r="CX51" s="61"/>
      <c r="CY51" s="61"/>
      <c r="CZ51" s="61"/>
      <c r="DA51" s="61"/>
      <c r="DB51" s="61">
        <v>58684.1975308642</v>
      </c>
      <c r="DC51" s="61">
        <v>62014.051470588238</v>
      </c>
      <c r="DD51" s="70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>
        <v>36642.51136363636</v>
      </c>
      <c r="DV51" s="61"/>
      <c r="DW51" s="61"/>
      <c r="DX51" s="61"/>
      <c r="DY51" s="61"/>
      <c r="DZ51" s="61">
        <v>41257.987500000003</v>
      </c>
      <c r="EA51" s="301">
        <v>43692.144444444442</v>
      </c>
    </row>
    <row r="52" spans="1:131">
      <c r="A52" s="61" t="s">
        <v>132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2">
        <v>69012.030002970598</v>
      </c>
      <c r="AD52" s="61"/>
      <c r="AE52" s="61"/>
      <c r="AF52" s="61"/>
      <c r="AG52" s="61"/>
      <c r="AH52" s="61">
        <v>77817.529955656195</v>
      </c>
      <c r="AI52" s="61">
        <v>79052.167767503299</v>
      </c>
      <c r="AJ52" s="70"/>
      <c r="AK52" s="62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>
        <v>92621.965081276343</v>
      </c>
      <c r="BB52" s="61"/>
      <c r="BC52" s="61"/>
      <c r="BD52" s="61"/>
      <c r="BE52" s="61"/>
      <c r="BF52" s="61">
        <v>106201.81701738335</v>
      </c>
      <c r="BG52" s="61">
        <v>108685.44530764451</v>
      </c>
      <c r="BH52" s="70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>
        <v>66141.006929133859</v>
      </c>
      <c r="BZ52" s="61"/>
      <c r="CA52" s="61"/>
      <c r="CB52" s="61"/>
      <c r="CC52" s="61"/>
      <c r="CD52" s="61">
        <v>75573.419651056014</v>
      </c>
      <c r="CE52" s="61">
        <v>77176.748945147672</v>
      </c>
      <c r="CF52" s="70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>
        <v>54277.160460652594</v>
      </c>
      <c r="CX52" s="61"/>
      <c r="CY52" s="61"/>
      <c r="CZ52" s="61"/>
      <c r="DA52" s="61"/>
      <c r="DB52" s="61">
        <v>63424.71603109959</v>
      </c>
      <c r="DC52" s="61">
        <v>64575.200542005419</v>
      </c>
      <c r="DD52" s="70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>
        <v>37094.725598526704</v>
      </c>
      <c r="DV52" s="61"/>
      <c r="DW52" s="61"/>
      <c r="DX52" s="61"/>
      <c r="DY52" s="61"/>
      <c r="DZ52" s="61">
        <v>41457.376436781611</v>
      </c>
      <c r="EA52" s="301">
        <v>41905.822128851541</v>
      </c>
    </row>
    <row r="53" spans="1:131">
      <c r="A53" s="61" t="s">
        <v>133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2">
        <v>51624.112369337978</v>
      </c>
      <c r="AD53" s="61"/>
      <c r="AE53" s="61"/>
      <c r="AF53" s="61"/>
      <c r="AG53" s="61"/>
      <c r="AH53" s="61">
        <v>61007.295392953929</v>
      </c>
      <c r="AI53" s="61">
        <v>60666.356756756759</v>
      </c>
      <c r="AJ53" s="70"/>
      <c r="AK53" s="62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>
        <v>67654.416666666672</v>
      </c>
      <c r="BB53" s="61"/>
      <c r="BC53" s="61"/>
      <c r="BD53" s="61"/>
      <c r="BE53" s="61"/>
      <c r="BF53" s="61">
        <v>80470.480701754379</v>
      </c>
      <c r="BG53" s="61">
        <v>79729.116197183102</v>
      </c>
      <c r="BH53" s="70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>
        <v>53498.586956521736</v>
      </c>
      <c r="BZ53" s="61"/>
      <c r="CA53" s="61"/>
      <c r="CB53" s="61"/>
      <c r="CC53" s="61"/>
      <c r="CD53" s="61">
        <v>64451.201520912546</v>
      </c>
      <c r="CE53" s="61">
        <v>63921.505976095621</v>
      </c>
      <c r="CF53" s="70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>
        <v>47704.024316109426</v>
      </c>
      <c r="CX53" s="61"/>
      <c r="CY53" s="61"/>
      <c r="CZ53" s="61"/>
      <c r="DA53" s="61"/>
      <c r="DB53" s="61">
        <v>54696.519519519519</v>
      </c>
      <c r="DC53" s="61">
        <v>54977.892351274786</v>
      </c>
      <c r="DD53" s="70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>
        <v>38034.73863636364</v>
      </c>
      <c r="DV53" s="61"/>
      <c r="DW53" s="61"/>
      <c r="DX53" s="61"/>
      <c r="DY53" s="61"/>
      <c r="DZ53" s="61">
        <v>42208.330232558139</v>
      </c>
      <c r="EA53" s="301">
        <v>41732.757990867583</v>
      </c>
    </row>
    <row r="54" spans="1:131">
      <c r="A54" s="63" t="s">
        <v>134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>
        <v>63309.836404728791</v>
      </c>
      <c r="AD54" s="63"/>
      <c r="AE54" s="63"/>
      <c r="AF54" s="63"/>
      <c r="AG54" s="63"/>
      <c r="AH54" s="63">
        <v>69487.740526228692</v>
      </c>
      <c r="AI54" s="63">
        <v>70096.749716690945</v>
      </c>
      <c r="AJ54" s="72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>
        <v>81423.641490926922</v>
      </c>
      <c r="BB54" s="63"/>
      <c r="BC54" s="63"/>
      <c r="BD54" s="63"/>
      <c r="BE54" s="63"/>
      <c r="BF54" s="63">
        <v>89673.738331678251</v>
      </c>
      <c r="BG54" s="63">
        <v>90709.789701636182</v>
      </c>
      <c r="BH54" s="72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>
        <v>60516.466101694918</v>
      </c>
      <c r="BZ54" s="63"/>
      <c r="CA54" s="63"/>
      <c r="CB54" s="63"/>
      <c r="CC54" s="63"/>
      <c r="CD54" s="63">
        <v>66544.035110533165</v>
      </c>
      <c r="CE54" s="63">
        <v>67172.243918053777</v>
      </c>
      <c r="CF54" s="72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>
        <v>52676.653114754095</v>
      </c>
      <c r="CX54" s="63"/>
      <c r="CY54" s="63"/>
      <c r="CZ54" s="63"/>
      <c r="DA54" s="63"/>
      <c r="DB54" s="63">
        <v>60633.038684719533</v>
      </c>
      <c r="DC54" s="63">
        <v>61091.987154784845</v>
      </c>
      <c r="DD54" s="72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>
        <v>45974.883333333331</v>
      </c>
      <c r="DV54" s="63"/>
      <c r="DW54" s="63"/>
      <c r="DX54" s="63"/>
      <c r="DY54" s="63"/>
      <c r="DZ54" s="63">
        <v>50487.281690140844</v>
      </c>
      <c r="EA54" s="302">
        <v>52937.071428571428</v>
      </c>
    </row>
    <row r="55" spans="1:13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2"/>
      <c r="AD55" s="61"/>
      <c r="AE55" s="61"/>
      <c r="AF55" s="61"/>
      <c r="AG55" s="61"/>
      <c r="AH55" s="61"/>
      <c r="AI55" s="61"/>
      <c r="AJ55" s="70"/>
      <c r="AK55" s="62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70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70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70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</row>
    <row r="56" spans="1:131">
      <c r="A56" s="61" t="s">
        <v>136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2">
        <v>75874.888695652175</v>
      </c>
      <c r="AD56" s="61"/>
      <c r="AE56" s="61"/>
      <c r="AF56" s="61"/>
      <c r="AG56" s="61"/>
      <c r="AH56" s="61">
        <v>88317.038401253914</v>
      </c>
      <c r="AI56" s="61">
        <v>90716.857417371255</v>
      </c>
      <c r="AJ56" s="70"/>
      <c r="AK56" s="62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>
        <v>95874.934807916186</v>
      </c>
      <c r="BB56" s="61"/>
      <c r="BC56" s="61"/>
      <c r="BD56" s="61"/>
      <c r="BE56" s="61"/>
      <c r="BF56" s="61">
        <v>111841.04468085106</v>
      </c>
      <c r="BG56" s="61">
        <v>114797.74164133739</v>
      </c>
      <c r="BH56" s="70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>
        <v>70838.891061452508</v>
      </c>
      <c r="BZ56" s="61"/>
      <c r="CA56" s="61"/>
      <c r="CB56" s="61"/>
      <c r="CC56" s="61"/>
      <c r="CD56" s="61">
        <v>83137.823155216291</v>
      </c>
      <c r="CE56" s="61">
        <v>85109.516666666663</v>
      </c>
      <c r="CF56" s="70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>
        <v>57715.059936908518</v>
      </c>
      <c r="CX56" s="61"/>
      <c r="CY56" s="61"/>
      <c r="CZ56" s="61"/>
      <c r="DA56" s="61"/>
      <c r="DB56" s="61">
        <v>67011.060693641615</v>
      </c>
      <c r="DC56" s="61">
        <v>68059.568940493467</v>
      </c>
      <c r="DD56" s="70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>
        <v>46930.561403508771</v>
      </c>
      <c r="DV56" s="61"/>
      <c r="DW56" s="61"/>
      <c r="DX56" s="61"/>
      <c r="DY56" s="61"/>
      <c r="DZ56" s="61">
        <v>57668.882352941175</v>
      </c>
      <c r="EA56" s="61">
        <v>58312.445652173912</v>
      </c>
    </row>
    <row r="57" spans="1:131">
      <c r="A57" s="61" t="s">
        <v>137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2">
        <v>57263.784158415845</v>
      </c>
      <c r="AD57" s="61"/>
      <c r="AE57" s="61"/>
      <c r="AF57" s="61"/>
      <c r="AG57" s="61"/>
      <c r="AH57" s="61">
        <v>70694.087091757392</v>
      </c>
      <c r="AI57" s="61">
        <v>71449.829701372073</v>
      </c>
      <c r="AJ57" s="70"/>
      <c r="AK57" s="62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>
        <v>70083.541379310351</v>
      </c>
      <c r="BB57" s="61"/>
      <c r="BC57" s="61"/>
      <c r="BD57" s="61"/>
      <c r="BE57" s="61"/>
      <c r="BF57" s="61">
        <v>88969.80138568129</v>
      </c>
      <c r="BG57" s="61">
        <v>90651.724637681153</v>
      </c>
      <c r="BH57" s="70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>
        <v>58068.017412935325</v>
      </c>
      <c r="BZ57" s="61"/>
      <c r="CA57" s="61"/>
      <c r="CB57" s="61"/>
      <c r="CC57" s="61"/>
      <c r="CD57" s="61">
        <v>69653.721030042914</v>
      </c>
      <c r="CE57" s="61">
        <v>70007.78125</v>
      </c>
      <c r="CF57" s="70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>
        <v>45367.995689655174</v>
      </c>
      <c r="CX57" s="61"/>
      <c r="CY57" s="61"/>
      <c r="CZ57" s="61"/>
      <c r="DA57" s="61"/>
      <c r="DB57" s="61">
        <v>54319.095022624431</v>
      </c>
      <c r="DC57" s="61">
        <v>55835.801020408166</v>
      </c>
      <c r="DD57" s="70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>
        <v>40673.78787878788</v>
      </c>
      <c r="DV57" s="61"/>
      <c r="DW57" s="61"/>
      <c r="DX57" s="61"/>
      <c r="DY57" s="61"/>
      <c r="DZ57" s="61">
        <v>48289.295454545456</v>
      </c>
      <c r="EA57" s="61">
        <v>49732.323529411762</v>
      </c>
    </row>
    <row r="58" spans="1:131">
      <c r="A58" s="61" t="s">
        <v>138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2">
        <v>71925.363150492267</v>
      </c>
      <c r="AD58" s="61"/>
      <c r="AE58" s="61"/>
      <c r="AF58" s="61"/>
      <c r="AG58" s="61"/>
      <c r="AH58" s="61">
        <v>80402.916752049176</v>
      </c>
      <c r="AI58" s="61">
        <v>81053.542684462358</v>
      </c>
      <c r="AJ58" s="70"/>
      <c r="AK58" s="62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>
        <v>87773.62</v>
      </c>
      <c r="BB58" s="61"/>
      <c r="BC58" s="61"/>
      <c r="BD58" s="61"/>
      <c r="BE58" s="61"/>
      <c r="BF58" s="61">
        <v>101370.07452966715</v>
      </c>
      <c r="BG58" s="61">
        <v>101583.89067974772</v>
      </c>
      <c r="BH58" s="70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>
        <v>71490.489910313903</v>
      </c>
      <c r="BZ58" s="61"/>
      <c r="CA58" s="61"/>
      <c r="CB58" s="61"/>
      <c r="CC58" s="61"/>
      <c r="CD58" s="61">
        <v>78316.964946445965</v>
      </c>
      <c r="CE58" s="61">
        <v>78868.031853281849</v>
      </c>
      <c r="CF58" s="70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>
        <v>56077.114930182601</v>
      </c>
      <c r="CX58" s="61"/>
      <c r="CY58" s="61"/>
      <c r="CZ58" s="61"/>
      <c r="DA58" s="61"/>
      <c r="DB58" s="61">
        <v>64583.687845303866</v>
      </c>
      <c r="DC58" s="61">
        <v>65462.257884972169</v>
      </c>
      <c r="DD58" s="70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>
        <v>45239.913043478264</v>
      </c>
      <c r="DV58" s="61"/>
      <c r="DW58" s="61"/>
      <c r="DX58" s="61"/>
      <c r="DY58" s="61"/>
      <c r="DZ58" s="61">
        <v>55722.929824561405</v>
      </c>
      <c r="EA58" s="61">
        <v>54299.609375</v>
      </c>
    </row>
    <row r="59" spans="1:131">
      <c r="A59" s="61" t="s">
        <v>139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2">
        <v>69748.918001885017</v>
      </c>
      <c r="AD59" s="61"/>
      <c r="AE59" s="61"/>
      <c r="AF59" s="61"/>
      <c r="AG59" s="61"/>
      <c r="AH59" s="61">
        <v>83827.885964912275</v>
      </c>
      <c r="AI59" s="61">
        <v>85722.166988416982</v>
      </c>
      <c r="AJ59" s="70"/>
      <c r="AK59" s="62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>
        <v>86809.79028132993</v>
      </c>
      <c r="BB59" s="61"/>
      <c r="BC59" s="61"/>
      <c r="BD59" s="61"/>
      <c r="BE59" s="61"/>
      <c r="BF59" s="61">
        <v>102059.37368421053</v>
      </c>
      <c r="BG59" s="61">
        <v>103356.71317829458</v>
      </c>
      <c r="BH59" s="70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>
        <v>66382.55084745762</v>
      </c>
      <c r="BZ59" s="61"/>
      <c r="CA59" s="61"/>
      <c r="CB59" s="61"/>
      <c r="CC59" s="61"/>
      <c r="CD59" s="61">
        <v>81381.131652661061</v>
      </c>
      <c r="CE59" s="61">
        <v>83407.721763085399</v>
      </c>
      <c r="CF59" s="70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>
        <v>55075.275000000001</v>
      </c>
      <c r="CX59" s="61"/>
      <c r="CY59" s="61"/>
      <c r="CZ59" s="61"/>
      <c r="DA59" s="61"/>
      <c r="DB59" s="61">
        <v>65618.628205128203</v>
      </c>
      <c r="DC59" s="61">
        <v>67689.379310344826</v>
      </c>
      <c r="DD59" s="70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>
        <v>43280</v>
      </c>
      <c r="DV59" s="61"/>
      <c r="DW59" s="61"/>
      <c r="DX59" s="61"/>
      <c r="DY59" s="61"/>
      <c r="DZ59" s="61">
        <v>59571.666666666664</v>
      </c>
      <c r="EA59" s="61">
        <v>57821.666666666664</v>
      </c>
    </row>
    <row r="60" spans="1:131">
      <c r="A60" s="61" t="s">
        <v>140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2">
        <v>80167.439452371764</v>
      </c>
      <c r="AD60" s="61"/>
      <c r="AE60" s="61"/>
      <c r="AF60" s="61"/>
      <c r="AG60" s="61"/>
      <c r="AH60" s="61">
        <v>96762.36618444846</v>
      </c>
      <c r="AI60" s="61">
        <v>99784.209193751129</v>
      </c>
      <c r="AJ60" s="70"/>
      <c r="AK60" s="62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>
        <v>104543.68549222797</v>
      </c>
      <c r="BB60" s="61"/>
      <c r="BC60" s="61"/>
      <c r="BD60" s="61"/>
      <c r="BE60" s="61"/>
      <c r="BF60" s="61">
        <v>127887.33217993079</v>
      </c>
      <c r="BG60" s="61">
        <v>131715.0918114144</v>
      </c>
      <c r="BH60" s="70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>
        <v>76611.035220994469</v>
      </c>
      <c r="BZ60" s="61"/>
      <c r="CA60" s="61"/>
      <c r="CB60" s="61"/>
      <c r="CC60" s="61"/>
      <c r="CD60" s="61">
        <v>91312.953902888752</v>
      </c>
      <c r="CE60" s="61">
        <v>93816.073286052007</v>
      </c>
      <c r="CF60" s="70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>
        <v>60356.101108033239</v>
      </c>
      <c r="CX60" s="61"/>
      <c r="CY60" s="61"/>
      <c r="CZ60" s="61"/>
      <c r="DA60" s="61"/>
      <c r="DB60" s="61">
        <v>73148.08142857143</v>
      </c>
      <c r="DC60" s="61">
        <v>76168.018611309948</v>
      </c>
      <c r="DD60" s="70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>
        <v>41157.781395348837</v>
      </c>
      <c r="DV60" s="61"/>
      <c r="DW60" s="61"/>
      <c r="DX60" s="61"/>
      <c r="DY60" s="61"/>
      <c r="DZ60" s="61">
        <v>50172.365448504985</v>
      </c>
      <c r="EA60" s="61">
        <v>51047.006944444445</v>
      </c>
    </row>
    <row r="61" spans="1:131">
      <c r="A61" s="61" t="s">
        <v>141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2">
        <v>68570.070056397599</v>
      </c>
      <c r="AD61" s="61"/>
      <c r="AE61" s="61"/>
      <c r="AF61" s="61"/>
      <c r="AG61" s="61"/>
      <c r="AH61" s="61">
        <v>82670.496727581805</v>
      </c>
      <c r="AI61" s="61">
        <v>87247.071416857987</v>
      </c>
      <c r="AJ61" s="70"/>
      <c r="AK61" s="62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>
        <v>89543.70969544565</v>
      </c>
      <c r="BB61" s="61"/>
      <c r="BC61" s="61"/>
      <c r="BD61" s="61"/>
      <c r="BE61" s="61"/>
      <c r="BF61" s="61">
        <v>109435.0419419707</v>
      </c>
      <c r="BG61" s="61">
        <v>115079.93409818569</v>
      </c>
      <c r="BH61" s="70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>
        <v>67339.492346141837</v>
      </c>
      <c r="BZ61" s="61"/>
      <c r="CA61" s="61"/>
      <c r="CB61" s="61"/>
      <c r="CC61" s="61"/>
      <c r="CD61" s="61">
        <v>81649.363324764359</v>
      </c>
      <c r="CE61" s="61">
        <v>84903.009573304153</v>
      </c>
      <c r="CF61" s="70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>
        <v>55505.735618826264</v>
      </c>
      <c r="CX61" s="61"/>
      <c r="CY61" s="61"/>
      <c r="CZ61" s="61"/>
      <c r="DA61" s="61"/>
      <c r="DB61" s="61">
        <v>66564.452595936789</v>
      </c>
      <c r="DC61" s="61">
        <v>70275.456601639802</v>
      </c>
      <c r="DD61" s="70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>
        <v>43248.36</v>
      </c>
      <c r="DV61" s="61"/>
      <c r="DW61" s="61"/>
      <c r="DX61" s="61"/>
      <c r="DY61" s="61"/>
      <c r="DZ61" s="61">
        <v>51234.963855421687</v>
      </c>
      <c r="EA61" s="61">
        <v>55041.523560209425</v>
      </c>
    </row>
    <row r="62" spans="1:131">
      <c r="A62" s="62" t="s">
        <v>142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>
        <v>69661.946571528024</v>
      </c>
      <c r="AD62" s="62"/>
      <c r="AE62" s="62"/>
      <c r="AF62" s="62"/>
      <c r="AG62" s="62"/>
      <c r="AH62" s="62">
        <v>78935.880800804152</v>
      </c>
      <c r="AI62" s="62">
        <v>82094.142869127521</v>
      </c>
      <c r="AJ62" s="70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>
        <v>98715.08783136378</v>
      </c>
      <c r="BB62" s="62"/>
      <c r="BC62" s="62"/>
      <c r="BD62" s="62"/>
      <c r="BE62" s="62"/>
      <c r="BF62" s="62">
        <v>113239.14720000001</v>
      </c>
      <c r="BG62" s="62">
        <v>116814.79578351164</v>
      </c>
      <c r="BH62" s="70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>
        <v>71147.19786808794</v>
      </c>
      <c r="BZ62" s="62"/>
      <c r="CA62" s="62"/>
      <c r="CB62" s="62"/>
      <c r="CC62" s="62"/>
      <c r="CD62" s="62">
        <v>81451.182075471705</v>
      </c>
      <c r="CE62" s="62">
        <v>84331.390678761338</v>
      </c>
      <c r="CF62" s="70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>
        <v>58020.491082802546</v>
      </c>
      <c r="CX62" s="62"/>
      <c r="CY62" s="62"/>
      <c r="CZ62" s="62"/>
      <c r="DA62" s="62"/>
      <c r="DB62" s="62">
        <v>64614.661916736521</v>
      </c>
      <c r="DC62" s="62">
        <v>67677.98831242873</v>
      </c>
      <c r="DD62" s="70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>
        <v>42818.345744680853</v>
      </c>
      <c r="DV62" s="62"/>
      <c r="DW62" s="62"/>
      <c r="DX62" s="62"/>
      <c r="DY62" s="62"/>
      <c r="DZ62" s="62">
        <v>48561.720238095237</v>
      </c>
      <c r="EA62" s="62">
        <v>49498.219737856591</v>
      </c>
    </row>
    <row r="63" spans="1:131">
      <c r="A63" s="62" t="s">
        <v>0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>
        <v>65926.984678243112</v>
      </c>
      <c r="AD63" s="62"/>
      <c r="AE63" s="62"/>
      <c r="AF63" s="62"/>
      <c r="AG63" s="62"/>
      <c r="AH63" s="62">
        <v>77724.898492462307</v>
      </c>
      <c r="AI63" s="62">
        <v>77451.750495049506</v>
      </c>
      <c r="AJ63" s="70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>
        <v>79691.1889596603</v>
      </c>
      <c r="BB63" s="62"/>
      <c r="BC63" s="62"/>
      <c r="BD63" s="62"/>
      <c r="BE63" s="62"/>
      <c r="BF63" s="62">
        <v>96651.550588235288</v>
      </c>
      <c r="BG63" s="62">
        <v>96485.530660377364</v>
      </c>
      <c r="BH63" s="70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>
        <v>58923.048309178746</v>
      </c>
      <c r="BZ63" s="62"/>
      <c r="CA63" s="62"/>
      <c r="CB63" s="62"/>
      <c r="CC63" s="62"/>
      <c r="CD63" s="62">
        <v>72807.805785123972</v>
      </c>
      <c r="CE63" s="62">
        <v>73095.937254901961</v>
      </c>
      <c r="CF63" s="70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>
        <v>52782.399122807015</v>
      </c>
      <c r="CX63" s="62"/>
      <c r="CY63" s="62"/>
      <c r="CZ63" s="62"/>
      <c r="DA63" s="62"/>
      <c r="DB63" s="62">
        <v>60859.479338842975</v>
      </c>
      <c r="DC63" s="62">
        <v>60619.212500000001</v>
      </c>
      <c r="DD63" s="70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>
        <v>48592.42105263158</v>
      </c>
      <c r="EA63" s="62">
        <v>53911.090909090912</v>
      </c>
    </row>
    <row r="64" spans="1:131">
      <c r="A64" s="63" t="s">
        <v>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>
        <v>57032.279126213594</v>
      </c>
      <c r="AD64" s="63"/>
      <c r="AE64" s="63"/>
      <c r="AF64" s="63"/>
      <c r="AG64" s="63"/>
      <c r="AH64" s="63">
        <v>74154.175658720196</v>
      </c>
      <c r="AI64" s="63">
        <v>76387.256188118816</v>
      </c>
      <c r="AJ64" s="72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>
        <v>69766.338403041824</v>
      </c>
      <c r="BB64" s="63"/>
      <c r="BC64" s="63"/>
      <c r="BD64" s="63"/>
      <c r="BE64" s="63"/>
      <c r="BF64" s="63">
        <v>94918.02127659574</v>
      </c>
      <c r="BG64" s="63">
        <v>97702.508333333331</v>
      </c>
      <c r="BH64" s="72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>
        <v>59290.743961352659</v>
      </c>
      <c r="BZ64" s="63"/>
      <c r="CA64" s="63"/>
      <c r="CB64" s="63"/>
      <c r="CC64" s="63"/>
      <c r="CD64" s="63">
        <v>77761.480349344973</v>
      </c>
      <c r="CE64" s="63">
        <v>80252.416309012871</v>
      </c>
      <c r="CF64" s="72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>
        <v>47815.851063829788</v>
      </c>
      <c r="CX64" s="63"/>
      <c r="CY64" s="63"/>
      <c r="CZ64" s="63"/>
      <c r="DA64" s="63"/>
      <c r="DB64" s="63">
        <v>60088.130653266329</v>
      </c>
      <c r="DC64" s="63">
        <v>61290.810526315792</v>
      </c>
      <c r="DD64" s="72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>
        <v>27545</v>
      </c>
      <c r="DV64" s="63"/>
      <c r="DW64" s="63"/>
      <c r="DX64" s="63"/>
      <c r="DY64" s="63"/>
      <c r="DZ64" s="63">
        <v>49523.666666666664</v>
      </c>
      <c r="EA64" s="63">
        <v>36948.333333333336</v>
      </c>
    </row>
    <row r="65" spans="1:131">
      <c r="A65" s="65" t="s">
        <v>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>
        <v>61787.269565217393</v>
      </c>
      <c r="AD65" s="65"/>
      <c r="AE65" s="65"/>
      <c r="AF65" s="65"/>
      <c r="AG65" s="65"/>
      <c r="AH65" s="65">
        <v>76408.618257261405</v>
      </c>
      <c r="AI65" s="65">
        <v>78435.904761904763</v>
      </c>
      <c r="AJ65" s="73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>
        <v>72216.870370370365</v>
      </c>
      <c r="BB65" s="65"/>
      <c r="BC65" s="65"/>
      <c r="BD65" s="65"/>
      <c r="BE65" s="65"/>
      <c r="BF65" s="65">
        <v>93627.827586206899</v>
      </c>
      <c r="BG65" s="65">
        <v>96183.876543209873</v>
      </c>
      <c r="BH65" s="73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>
        <v>57082.01470588235</v>
      </c>
      <c r="BZ65" s="65"/>
      <c r="CA65" s="65"/>
      <c r="CB65" s="65"/>
      <c r="CC65" s="65"/>
      <c r="CD65" s="65">
        <v>74164.258426966291</v>
      </c>
      <c r="CE65" s="65">
        <v>75464.988636363632</v>
      </c>
      <c r="CF65" s="73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>
        <v>45778.270833333336</v>
      </c>
      <c r="CX65" s="65"/>
      <c r="CY65" s="65"/>
      <c r="CZ65" s="65"/>
      <c r="DA65" s="65"/>
      <c r="DB65" s="65">
        <v>56816.30909090909</v>
      </c>
      <c r="DC65" s="65">
        <v>59391.407407407409</v>
      </c>
      <c r="DD65" s="73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>
        <v>42066.75</v>
      </c>
      <c r="DV65" s="65"/>
      <c r="DW65" s="65"/>
      <c r="DX65" s="65"/>
      <c r="DY65" s="65"/>
      <c r="DZ65" s="65">
        <v>54334</v>
      </c>
      <c r="EA65" s="65">
        <v>59968.125</v>
      </c>
    </row>
    <row r="67" spans="1:131">
      <c r="B67" s="21" t="s">
        <v>96</v>
      </c>
      <c r="AC67" s="60" t="s">
        <v>5</v>
      </c>
      <c r="AD67" s="60" t="s">
        <v>106</v>
      </c>
      <c r="AE67" s="60" t="s">
        <v>105</v>
      </c>
      <c r="AF67" s="60" t="s">
        <v>104</v>
      </c>
      <c r="AG67" s="60" t="s">
        <v>103</v>
      </c>
      <c r="AH67" s="60" t="s">
        <v>20</v>
      </c>
      <c r="AI67" s="60" t="s">
        <v>20</v>
      </c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BA67" s="60" t="s">
        <v>5</v>
      </c>
      <c r="BB67" s="60" t="s">
        <v>106</v>
      </c>
      <c r="BC67" s="60" t="s">
        <v>105</v>
      </c>
      <c r="BD67" s="60" t="s">
        <v>104</v>
      </c>
      <c r="BE67" s="60" t="s">
        <v>103</v>
      </c>
      <c r="BF67" s="60" t="s">
        <v>21</v>
      </c>
      <c r="BG67" s="60" t="s">
        <v>23</v>
      </c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Y67" s="60" t="s">
        <v>5</v>
      </c>
      <c r="BZ67" s="60" t="s">
        <v>106</v>
      </c>
      <c r="CA67" s="60" t="s">
        <v>105</v>
      </c>
      <c r="CB67" s="60" t="s">
        <v>104</v>
      </c>
      <c r="CC67" s="60" t="s">
        <v>103</v>
      </c>
      <c r="CD67" s="60" t="s">
        <v>21</v>
      </c>
      <c r="CE67" s="60" t="s">
        <v>21</v>
      </c>
      <c r="CF67" s="60"/>
      <c r="CG67" s="22"/>
      <c r="CH67" s="22"/>
      <c r="CI67" s="22"/>
      <c r="CJ67" s="22"/>
      <c r="CK67" s="22"/>
      <c r="CL67" s="22"/>
      <c r="CM67" s="22"/>
      <c r="CN67" s="22"/>
      <c r="CO67" s="22"/>
      <c r="CP67" s="22" t="s">
        <v>64</v>
      </c>
      <c r="CQ67" s="22"/>
      <c r="CR67" s="23"/>
      <c r="CS67" s="23"/>
      <c r="CT67" s="23"/>
      <c r="CU67" s="23"/>
      <c r="CV67" s="23"/>
      <c r="CW67" s="60" t="s">
        <v>5</v>
      </c>
      <c r="CX67" s="60" t="s">
        <v>106</v>
      </c>
      <c r="CY67" s="60" t="s">
        <v>105</v>
      </c>
      <c r="CZ67" s="60" t="s">
        <v>104</v>
      </c>
      <c r="DA67" s="60" t="s">
        <v>103</v>
      </c>
      <c r="DB67" s="60" t="s">
        <v>21</v>
      </c>
      <c r="DC67" s="60" t="s">
        <v>21</v>
      </c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U67" s="60" t="s">
        <v>5</v>
      </c>
      <c r="DV67" s="60" t="s">
        <v>106</v>
      </c>
      <c r="DW67" s="60" t="s">
        <v>105</v>
      </c>
      <c r="DX67" s="60" t="s">
        <v>104</v>
      </c>
      <c r="DY67" s="60" t="s">
        <v>103</v>
      </c>
      <c r="DZ67" s="60" t="s">
        <v>21</v>
      </c>
      <c r="EA67" s="60" t="s">
        <v>21</v>
      </c>
    </row>
    <row r="68" spans="1:131">
      <c r="B68" s="24" t="s">
        <v>3</v>
      </c>
    </row>
  </sheetData>
  <phoneticPr fontId="0" type="noConversion"/>
  <pageMargins left="0.5" right="0.5" top="0.5" bottom="0.55000000000000004" header="0.5" footer="0.5"/>
  <headerFooter alignWithMargins="0">
    <oddFooter>&amp;LSREB Fact Book 1996/1997&amp;CUPDATE&amp;R&amp;D</oddFooter>
  </headerFooter>
  <colBreaks count="5" manualBreakCount="5">
    <brk id="16" max="26" man="1"/>
    <brk id="35" max="26" man="1"/>
    <brk id="59" max="26" man="1"/>
    <brk id="83" max="26" man="1"/>
    <brk id="107" max="26" man="1"/>
  </colBreak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D67"/>
  <sheetViews>
    <sheetView workbookViewId="0"/>
  </sheetViews>
  <sheetFormatPr defaultColWidth="8.7109375" defaultRowHeight="12.75"/>
  <cols>
    <col min="1" max="1" width="17.5703125" style="10" customWidth="1"/>
    <col min="2" max="3" width="7.7109375" style="4" customWidth="1"/>
    <col min="4" max="16384" width="8.7109375" style="4"/>
  </cols>
  <sheetData>
    <row r="1" spans="1:4">
      <c r="A1" s="90" t="s">
        <v>24</v>
      </c>
      <c r="B1" s="3"/>
      <c r="C1" s="3"/>
    </row>
    <row r="2" spans="1:4">
      <c r="A2" s="90"/>
      <c r="B2" s="20" t="s">
        <v>107</v>
      </c>
      <c r="C2" s="20" t="s">
        <v>19</v>
      </c>
      <c r="D2" s="7"/>
    </row>
    <row r="3" spans="1:4">
      <c r="A3" s="63" t="s">
        <v>4</v>
      </c>
      <c r="B3" s="92">
        <f>+'Salary DATA'!AH6*(218/215.4)</f>
        <v>77925.31126036073</v>
      </c>
      <c r="C3" s="92">
        <f>+'Salary DATA'!AI6*(218/218)</f>
        <v>77936.578936613063</v>
      </c>
    </row>
    <row r="4" spans="1:4">
      <c r="A4" s="61" t="s">
        <v>108</v>
      </c>
      <c r="B4" s="15">
        <f>+'Salary DATA'!AH7*(218/215.4)</f>
        <v>82879.111144501789</v>
      </c>
      <c r="C4" s="15">
        <f>+'Salary DATA'!AI7*(218/218)</f>
        <v>82169.96105313547</v>
      </c>
    </row>
    <row r="5" spans="1:4">
      <c r="A5" s="61" t="s">
        <v>122</v>
      </c>
      <c r="B5" s="15">
        <f>+'Salary DATA'!AH8*(218/215.4)</f>
        <v>76172.97552981606</v>
      </c>
      <c r="C5" s="15">
        <f>+'Salary DATA'!AI8*(218/218)</f>
        <v>76278.133150268754</v>
      </c>
    </row>
    <row r="6" spans="1:4">
      <c r="A6" s="61" t="s">
        <v>135</v>
      </c>
      <c r="B6" s="15">
        <f>+'Salary DATA'!AH9*(218/215.4)</f>
        <v>83998.475692955239</v>
      </c>
      <c r="C6" s="17">
        <f>+'Salary DATA'!AI9*(218/218)</f>
        <v>86082.532849247844</v>
      </c>
    </row>
    <row r="7" spans="1:4">
      <c r="A7" s="21" t="s">
        <v>66</v>
      </c>
      <c r="B7" s="15">
        <f>+'Salary DATA'!AH10*(218/215.4)</f>
        <v>74345.515439805706</v>
      </c>
      <c r="C7" s="17">
        <f>+'Salary DATA'!AI10*(218/218)</f>
        <v>73954.52597053448</v>
      </c>
    </row>
    <row r="8" spans="1:4">
      <c r="A8" s="22"/>
      <c r="B8" s="15"/>
      <c r="C8" s="17"/>
    </row>
    <row r="9" spans="1:4">
      <c r="A9" s="21" t="s">
        <v>46</v>
      </c>
      <c r="B9" s="15">
        <f>+'Salary DATA'!AH12*(218/215.4)</f>
        <v>72620.421321116053</v>
      </c>
      <c r="C9" s="17">
        <f>+'Salary DATA'!AI12*(218/218)</f>
        <v>72751.781656992593</v>
      </c>
    </row>
    <row r="10" spans="1:4">
      <c r="A10" s="21" t="s">
        <v>47</v>
      </c>
      <c r="B10" s="15">
        <f>+'Salary DATA'!AH13*(218/215.4)</f>
        <v>60513.779862510906</v>
      </c>
      <c r="C10" s="17">
        <f>+'Salary DATA'!AI13*(218/218)</f>
        <v>61129.79961629834</v>
      </c>
    </row>
    <row r="11" spans="1:4">
      <c r="A11" s="21" t="s">
        <v>65</v>
      </c>
      <c r="B11" s="15">
        <f>+'Salary DATA'!AH14*(218/215.4)</f>
        <v>94677.664609813903</v>
      </c>
      <c r="C11" s="17">
        <f>+'Salary DATA'!AI14*(218/218)</f>
        <v>94474.343564954674</v>
      </c>
    </row>
    <row r="12" spans="1:4">
      <c r="A12" s="21" t="s">
        <v>48</v>
      </c>
      <c r="B12" s="15">
        <f>+'Salary DATA'!AH15*(218/215.4)</f>
        <v>77237.955437991506</v>
      </c>
      <c r="C12" s="17">
        <f>+'Salary DATA'!AI15*(218/218)</f>
        <v>78037.041880881632</v>
      </c>
    </row>
    <row r="13" spans="1:4">
      <c r="A13" s="21" t="s">
        <v>49</v>
      </c>
      <c r="B13" s="15">
        <f>+'Salary DATA'!AH16*(218/215.4)</f>
        <v>73666.544345569491</v>
      </c>
      <c r="C13" s="17">
        <f>+'Salary DATA'!AI16*(218/218)</f>
        <v>72774.068051609604</v>
      </c>
    </row>
    <row r="14" spans="1:4">
      <c r="A14" s="21" t="s">
        <v>50</v>
      </c>
      <c r="B14" s="15">
        <f>+'Salary DATA'!AH17*(218/215.4)</f>
        <v>69084.785016011738</v>
      </c>
      <c r="C14" s="17">
        <f>+'Salary DATA'!AI17*(218/218)</f>
        <v>69042.577551673312</v>
      </c>
    </row>
    <row r="15" spans="1:4">
      <c r="A15" s="21" t="s">
        <v>51</v>
      </c>
      <c r="B15" s="15">
        <f>+'Salary DATA'!AH18*(218/215.4)</f>
        <v>66264.695986491352</v>
      </c>
      <c r="C15" s="17">
        <f>+'Salary DATA'!AI18*(218/218)</f>
        <v>65908.823999419736</v>
      </c>
    </row>
    <row r="16" spans="1:4">
      <c r="A16" s="21" t="s">
        <v>52</v>
      </c>
      <c r="B16" s="15">
        <f>+'Salary DATA'!AH19*(218/215.4)</f>
        <v>82138.313884781106</v>
      </c>
      <c r="C16" s="17">
        <f>+'Salary DATA'!AI19*(218/218)</f>
        <v>87322.115685592813</v>
      </c>
    </row>
    <row r="17" spans="1:3">
      <c r="A17" s="21" t="s">
        <v>53</v>
      </c>
      <c r="B17" s="15">
        <f>+'Salary DATA'!AH20*(218/215.4)</f>
        <v>63282.843480917574</v>
      </c>
      <c r="C17" s="17">
        <f>+'Salary DATA'!AI20*(218/218)</f>
        <v>62816.482272798901</v>
      </c>
    </row>
    <row r="18" spans="1:3">
      <c r="A18" s="21" t="s">
        <v>54</v>
      </c>
      <c r="B18" s="15">
        <f>+'Salary DATA'!AH21*(218/215.4)</f>
        <v>80493.2288399846</v>
      </c>
      <c r="C18" s="17">
        <f>+'Salary DATA'!AI21*(218/218)</f>
        <v>79332.810015933195</v>
      </c>
    </row>
    <row r="19" spans="1:3">
      <c r="A19" s="21" t="s">
        <v>55</v>
      </c>
      <c r="B19" s="15">
        <f>+'Salary DATA'!AH22*(218/215.4)</f>
        <v>67424.188684538327</v>
      </c>
      <c r="C19" s="17">
        <f>+'Salary DATA'!AI22*(218/218)</f>
        <v>66816.984268899527</v>
      </c>
    </row>
    <row r="20" spans="1:3">
      <c r="A20" s="21" t="s">
        <v>56</v>
      </c>
      <c r="B20" s="15">
        <f>+'Salary DATA'!AH23*(218/215.4)</f>
        <v>70912.711279408701</v>
      </c>
      <c r="C20" s="17">
        <f>+'Salary DATA'!AI23*(218/218)</f>
        <v>70294.330321588102</v>
      </c>
    </row>
    <row r="21" spans="1:3">
      <c r="A21" s="21" t="s">
        <v>57</v>
      </c>
      <c r="B21" s="17">
        <f>+'Salary DATA'!AH24*(218/215.4)</f>
        <v>68028.451959200844</v>
      </c>
      <c r="C21" s="17">
        <f>+'Salary DATA'!AI24*(218/218)</f>
        <v>67160.426279245279</v>
      </c>
    </row>
    <row r="22" spans="1:3">
      <c r="A22" s="21" t="s">
        <v>58</v>
      </c>
      <c r="B22" s="17">
        <f>+'Salary DATA'!AH25*(218/215.4)</f>
        <v>77181.750306125381</v>
      </c>
      <c r="C22" s="17">
        <f>+'Salary DATA'!AI25*(218/218)</f>
        <v>75977.00008845485</v>
      </c>
    </row>
    <row r="23" spans="1:3">
      <c r="A23" s="21" t="s">
        <v>59</v>
      </c>
      <c r="B23" s="15">
        <f>+'Salary DATA'!AH26*(218/215.4)</f>
        <v>81623.576604488277</v>
      </c>
      <c r="C23" s="17">
        <f>+'Salary DATA'!AI26*(218/218)</f>
        <v>80471.193759384754</v>
      </c>
    </row>
    <row r="24" spans="1:3">
      <c r="A24" s="54" t="s">
        <v>60</v>
      </c>
      <c r="B24" s="16">
        <f>+'Salary DATA'!AH27*(218/215.4)</f>
        <v>65708.064164412237</v>
      </c>
      <c r="C24" s="16">
        <f>+'Salary DATA'!AI27*(218/218)</f>
        <v>65285.464099351499</v>
      </c>
    </row>
    <row r="25" spans="1:3">
      <c r="A25" s="61"/>
      <c r="B25" s="17"/>
      <c r="C25" s="17"/>
    </row>
    <row r="26" spans="1:3">
      <c r="A26" s="64" t="s">
        <v>109</v>
      </c>
      <c r="B26" s="17">
        <f>+'Salary DATA'!AH29*(218/215.4)</f>
        <v>72420.922848591828</v>
      </c>
      <c r="C26" s="17">
        <f>+'Salary DATA'!AI29*(218/218)</f>
        <v>73331.529636711275</v>
      </c>
    </row>
    <row r="27" spans="1:3">
      <c r="A27" s="61" t="s">
        <v>110</v>
      </c>
      <c r="B27" s="17">
        <f>+'Salary DATA'!AH30*(218/215.4)</f>
        <v>83930.052307819991</v>
      </c>
      <c r="C27" s="17">
        <f>+'Salary DATA'!AI30*(218/218)</f>
        <v>83614.186661073822</v>
      </c>
    </row>
    <row r="28" spans="1:3">
      <c r="A28" s="61" t="s">
        <v>111</v>
      </c>
      <c r="B28" s="17">
        <f>+'Salary DATA'!AH31*(218/215.4)</f>
        <v>93840.468416019066</v>
      </c>
      <c r="C28" s="17">
        <f>+'Salary DATA'!AI31*(218/218)</f>
        <v>92820.535229569738</v>
      </c>
    </row>
    <row r="29" spans="1:3">
      <c r="A29" s="61" t="s">
        <v>112</v>
      </c>
      <c r="B29" s="17">
        <f>+'Salary DATA'!AH32*(218/215.4)</f>
        <v>73895.19679774814</v>
      </c>
      <c r="C29" s="17">
        <f>+'Salary DATA'!AI32*(218/218)</f>
        <v>73149.588449626521</v>
      </c>
    </row>
    <row r="30" spans="1:3">
      <c r="A30" s="61" t="s">
        <v>113</v>
      </c>
      <c r="B30" s="17">
        <f>+'Salary DATA'!AH33*(218/215.4)</f>
        <v>90403.437397481699</v>
      </c>
      <c r="C30" s="17">
        <f>+'Salary DATA'!AI33*(218/218)</f>
        <v>83192.468588322241</v>
      </c>
    </row>
    <row r="31" spans="1:3">
      <c r="A31" s="61" t="s">
        <v>114</v>
      </c>
      <c r="B31" s="17">
        <f>+'Salary DATA'!AH34*(218/215.4)</f>
        <v>62340.733170533778</v>
      </c>
      <c r="C31" s="17">
        <f>+'Salary DATA'!AI34*(218/218)</f>
        <v>61481.463572584995</v>
      </c>
    </row>
    <row r="32" spans="1:3">
      <c r="A32" s="61" t="s">
        <v>115</v>
      </c>
      <c r="B32" s="17">
        <f>+'Salary DATA'!AH35*(218/215.4)</f>
        <v>62010.413846280018</v>
      </c>
      <c r="C32" s="17">
        <f>+'Salary DATA'!AI35*(218/218)</f>
        <v>61264.366373902136</v>
      </c>
    </row>
    <row r="33" spans="1:3">
      <c r="A33" s="61" t="s">
        <v>116</v>
      </c>
      <c r="B33" s="17">
        <f>+'Salary DATA'!AH36*(218/215.4)</f>
        <v>90408.488316408315</v>
      </c>
      <c r="C33" s="17">
        <f>+'Salary DATA'!AI36*(218/218)</f>
        <v>89272.390759075904</v>
      </c>
    </row>
    <row r="34" spans="1:3">
      <c r="A34" s="62" t="s">
        <v>117</v>
      </c>
      <c r="B34" s="17">
        <f>+'Salary DATA'!AH37*(218/215.4)</f>
        <v>71405.189565670938</v>
      </c>
      <c r="C34" s="17">
        <f>+'Salary DATA'!AI37*(218/218)</f>
        <v>70629.767790262165</v>
      </c>
    </row>
    <row r="35" spans="1:3">
      <c r="A35" s="62" t="s">
        <v>118</v>
      </c>
      <c r="B35" s="17">
        <f>+'Salary DATA'!AH38*(218/215.4)</f>
        <v>70415.861934547371</v>
      </c>
      <c r="C35" s="17">
        <f>+'Salary DATA'!AI38*(218/218)</f>
        <v>69533.689003436433</v>
      </c>
    </row>
    <row r="36" spans="1:3">
      <c r="A36" s="62" t="s">
        <v>119</v>
      </c>
      <c r="B36" s="17">
        <f>+'Salary DATA'!AH39*(218/215.4)</f>
        <v>70199.434689437243</v>
      </c>
      <c r="C36" s="17">
        <f>+'Salary DATA'!AI39*(218/218)</f>
        <v>71573.113366645848</v>
      </c>
    </row>
    <row r="37" spans="1:3">
      <c r="A37" s="62" t="s">
        <v>120</v>
      </c>
      <c r="B37" s="17">
        <f>+'Salary DATA'!AH40*(218/215.4)</f>
        <v>80567.219276523349</v>
      </c>
      <c r="C37" s="17">
        <f>+'Salary DATA'!AI40*(218/218)</f>
        <v>79645.351993389791</v>
      </c>
    </row>
    <row r="38" spans="1:3">
      <c r="A38" s="63" t="s">
        <v>121</v>
      </c>
      <c r="B38" s="16">
        <f>+'Salary DATA'!AH41*(218/215.4)</f>
        <v>79894.207794355199</v>
      </c>
      <c r="C38" s="16">
        <f>+'Salary DATA'!AI41*(218/218)</f>
        <v>79013.122972972968</v>
      </c>
    </row>
    <row r="39" spans="1:3">
      <c r="A39" s="61"/>
      <c r="B39" s="17"/>
      <c r="C39" s="17"/>
    </row>
    <row r="40" spans="1:3">
      <c r="A40" s="61" t="s">
        <v>123</v>
      </c>
      <c r="B40" s="17">
        <f>+'Salary DATA'!AH43*(218/215.4)</f>
        <v>76090.898771510096</v>
      </c>
      <c r="C40" s="17">
        <f>+'Salary DATA'!AI43*(218/218)</f>
        <v>76072.56918798665</v>
      </c>
    </row>
    <row r="41" spans="1:3">
      <c r="A41" s="61" t="s">
        <v>124</v>
      </c>
      <c r="B41" s="17">
        <f>+'Salary DATA'!AH44*(218/215.4)</f>
        <v>74193.829497225728</v>
      </c>
      <c r="C41" s="17">
        <f>+'Salary DATA'!AI44*(218/218)</f>
        <v>75589.61386138614</v>
      </c>
    </row>
    <row r="42" spans="1:3">
      <c r="A42" s="61" t="s">
        <v>125</v>
      </c>
      <c r="B42" s="17">
        <f>+'Salary DATA'!AH45*(218/215.4)</f>
        <v>85187.65688605397</v>
      </c>
      <c r="C42" s="17">
        <f>+'Salary DATA'!AI45*(218/218)</f>
        <v>85953.605691056917</v>
      </c>
    </row>
    <row r="43" spans="1:3">
      <c r="A43" s="61" t="s">
        <v>126</v>
      </c>
      <c r="B43" s="17">
        <f>+'Salary DATA'!AH46*(218/215.4)</f>
        <v>73549.004350991629</v>
      </c>
      <c r="C43" s="17">
        <f>+'Salary DATA'!AI46*(218/218)</f>
        <v>72259.84773100054</v>
      </c>
    </row>
    <row r="44" spans="1:3">
      <c r="A44" s="61" t="s">
        <v>127</v>
      </c>
      <c r="B44" s="17">
        <f>+'Salary DATA'!AH47*(218/215.4)</f>
        <v>81743.156644635965</v>
      </c>
      <c r="C44" s="17">
        <f>+'Salary DATA'!AI47*(218/218)</f>
        <v>82276.002357008168</v>
      </c>
    </row>
    <row r="45" spans="1:3">
      <c r="A45" s="61" t="s">
        <v>128</v>
      </c>
      <c r="B45" s="17">
        <f>+'Salary DATA'!AH48*(218/215.4)</f>
        <v>79899.676416899398</v>
      </c>
      <c r="C45" s="17">
        <f>+'Salary DATA'!AI48*(218/218)</f>
        <v>78737.843290236284</v>
      </c>
    </row>
    <row r="46" spans="1:3">
      <c r="A46" s="61" t="s">
        <v>129</v>
      </c>
      <c r="B46" s="17">
        <f>+'Salary DATA'!AH49*(218/215.4)</f>
        <v>67317.64639502186</v>
      </c>
      <c r="C46" s="17">
        <f>+'Salary DATA'!AI49*(218/218)</f>
        <v>66448.636509065051</v>
      </c>
    </row>
    <row r="47" spans="1:3">
      <c r="A47" s="61" t="s">
        <v>130</v>
      </c>
      <c r="B47" s="17">
        <f>+'Salary DATA'!AH50*(218/215.4)</f>
        <v>76084.494993623259</v>
      </c>
      <c r="C47" s="17">
        <f>+'Salary DATA'!AI50*(218/218)</f>
        <v>76513.328506787337</v>
      </c>
    </row>
    <row r="48" spans="1:3">
      <c r="A48" s="61" t="s">
        <v>131</v>
      </c>
      <c r="B48" s="17">
        <f>+'Salary DATA'!AH51*(218/215.4)</f>
        <v>64286.147808867667</v>
      </c>
      <c r="C48" s="17">
        <f>+'Salary DATA'!AI51*(218/218)</f>
        <v>66128.738348868181</v>
      </c>
    </row>
    <row r="49" spans="1:3">
      <c r="A49" s="61" t="s">
        <v>132</v>
      </c>
      <c r="B49" s="17">
        <f>+'Salary DATA'!AH52*(218/215.4)</f>
        <v>78756.831617145072</v>
      </c>
      <c r="C49" s="17">
        <f>+'Salary DATA'!AI52*(218/218)</f>
        <v>79052.167767503299</v>
      </c>
    </row>
    <row r="50" spans="1:3">
      <c r="A50" s="61" t="s">
        <v>133</v>
      </c>
      <c r="B50" s="17">
        <f>+'Salary DATA'!AH53*(218/215.4)</f>
        <v>61743.688002153925</v>
      </c>
      <c r="C50" s="17">
        <f>+'Salary DATA'!AI53*(218/218)</f>
        <v>60666.356756756759</v>
      </c>
    </row>
    <row r="51" spans="1:3">
      <c r="A51" s="63" t="s">
        <v>134</v>
      </c>
      <c r="B51" s="16">
        <f>+'Salary DATA'!AH54*(218/215.4)</f>
        <v>70326.49691141065</v>
      </c>
      <c r="C51" s="16">
        <f>+'Salary DATA'!AI54*(218/218)</f>
        <v>70096.749716690945</v>
      </c>
    </row>
    <row r="52" spans="1:3">
      <c r="A52" s="61"/>
      <c r="B52" s="17"/>
      <c r="C52" s="17"/>
    </row>
    <row r="53" spans="1:3">
      <c r="A53" s="61" t="s">
        <v>136</v>
      </c>
      <c r="B53" s="17">
        <f>+'Salary DATA'!AH56*(218/215.4)</f>
        <v>89383.075076477966</v>
      </c>
      <c r="C53" s="17">
        <f>+'Salary DATA'!AI56*(218/218)</f>
        <v>90716.857417371255</v>
      </c>
    </row>
    <row r="54" spans="1:3">
      <c r="A54" s="61" t="s">
        <v>137</v>
      </c>
      <c r="B54" s="17">
        <f>+'Salary DATA'!AH57*(218/215.4)</f>
        <v>71547.404763245635</v>
      </c>
      <c r="C54" s="17">
        <f>+'Salary DATA'!AI57*(218/218)</f>
        <v>71449.829701372073</v>
      </c>
    </row>
    <row r="55" spans="1:3">
      <c r="A55" s="61" t="s">
        <v>138</v>
      </c>
      <c r="B55" s="17">
        <f>+'Salary DATA'!AH58*(218/215.4)</f>
        <v>81373.425496502881</v>
      </c>
      <c r="C55" s="17">
        <f>+'Salary DATA'!AI58*(218/218)</f>
        <v>81053.542684462358</v>
      </c>
    </row>
    <row r="56" spans="1:3">
      <c r="A56" s="61" t="s">
        <v>139</v>
      </c>
      <c r="B56" s="17">
        <f>+'Salary DATA'!AH59*(218/215.4)</f>
        <v>84839.736027627092</v>
      </c>
      <c r="C56" s="17">
        <f>+'Salary DATA'!AI59*(218/218)</f>
        <v>85722.166988416982</v>
      </c>
    </row>
    <row r="57" spans="1:3">
      <c r="A57" s="61" t="s">
        <v>140</v>
      </c>
      <c r="B57" s="17">
        <f>+'Salary DATA'!AH60*(218/215.4)</f>
        <v>97930.342749348943</v>
      </c>
      <c r="C57" s="17">
        <f>+'Salary DATA'!AI60*(218/218)</f>
        <v>99784.209193751129</v>
      </c>
    </row>
    <row r="58" spans="1:3">
      <c r="A58" s="61" t="s">
        <v>141</v>
      </c>
      <c r="B58" s="17">
        <f>+'Salary DATA'!AH61*(218/215.4)</f>
        <v>83668.376446670532</v>
      </c>
      <c r="C58" s="17">
        <f>+'Salary DATA'!AI61*(218/218)</f>
        <v>87247.071416857987</v>
      </c>
    </row>
    <row r="59" spans="1:3">
      <c r="A59" s="62" t="s">
        <v>142</v>
      </c>
      <c r="B59" s="17">
        <f>+'Salary DATA'!AH62*(218/215.4)</f>
        <v>79888.681590414606</v>
      </c>
      <c r="C59" s="17">
        <f>+'Salary DATA'!AI62*(218/218)</f>
        <v>82094.142869127521</v>
      </c>
    </row>
    <row r="60" spans="1:3">
      <c r="A60" s="62" t="s">
        <v>0</v>
      </c>
      <c r="B60" s="17">
        <f>+'Salary DATA'!AH63*(218/215.4)</f>
        <v>78663.082039725079</v>
      </c>
      <c r="C60" s="17">
        <f>+'Salary DATA'!AI63*(218/218)</f>
        <v>77451.750495049506</v>
      </c>
    </row>
    <row r="61" spans="1:3">
      <c r="A61" s="63" t="s">
        <v>1</v>
      </c>
      <c r="B61" s="16">
        <f>+'Salary DATA'!AH64*(218/215.4)</f>
        <v>75049.258558964721</v>
      </c>
      <c r="C61" s="16">
        <f>+'Salary DATA'!AI64*(218/218)</f>
        <v>76387.256188118816</v>
      </c>
    </row>
    <row r="62" spans="1:3">
      <c r="A62" s="65" t="s">
        <v>2</v>
      </c>
      <c r="B62" s="16">
        <f>+'Salary DATA'!AH65*(218/215.4)</f>
        <v>77330.913556559826</v>
      </c>
      <c r="C62" s="16">
        <f>+'Salary DATA'!AI65*(218/218)</f>
        <v>78435.904761904763</v>
      </c>
    </row>
    <row r="63" spans="1:3">
      <c r="A63" s="62"/>
      <c r="B63" s="5"/>
      <c r="C63" s="5"/>
    </row>
    <row r="64" spans="1:3" ht="13.5" customHeight="1">
      <c r="A64" s="62" t="s">
        <v>95</v>
      </c>
      <c r="B64" s="18"/>
      <c r="C64" s="18"/>
    </row>
    <row r="65" spans="1:3">
      <c r="A65" s="62"/>
      <c r="B65" s="91">
        <v>215.4</v>
      </c>
      <c r="C65" s="91">
        <v>218</v>
      </c>
    </row>
    <row r="66" spans="1:3">
      <c r="B66" s="5"/>
      <c r="C66" s="19">
        <f>(C65-B65)/B65</f>
        <v>1.2070566388115107E-2</v>
      </c>
    </row>
    <row r="67" spans="1:3">
      <c r="B67" s="5"/>
      <c r="C67" s="5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TABLE 82 update</vt:lpstr>
      <vt:lpstr>TABLE 84 update</vt:lpstr>
      <vt:lpstr>Salary DATA</vt:lpstr>
      <vt:lpstr>All Ranks Constant $</vt:lpstr>
      <vt:lpstr>A</vt:lpstr>
      <vt:lpstr>DATA</vt:lpstr>
      <vt:lpstr>NOTE</vt:lpstr>
      <vt:lpstr>'Salary DATA'!Print_Area</vt:lpstr>
      <vt:lpstr>'TABLE 82 update'!Print_Area</vt:lpstr>
      <vt:lpstr>'TABLE 84 update'!Print_Area</vt:lpstr>
      <vt:lpstr>'Salary DATA'!Print_Titles</vt:lpstr>
      <vt:lpstr>'TABLE 84 update'!TABLE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Ford</cp:lastModifiedBy>
  <cp:lastPrinted>2011-04-04T19:09:15Z</cp:lastPrinted>
  <dcterms:created xsi:type="dcterms:W3CDTF">1999-02-17T19:43:52Z</dcterms:created>
  <dcterms:modified xsi:type="dcterms:W3CDTF">2012-09-25T20:29:50Z</dcterms:modified>
</cp:coreProperties>
</file>